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3_人口統計各種\03_年齢別人口表\R8.4.1\04_公表用※常用漢字\02秘匿後\Excel\"/>
    </mc:Choice>
  </mc:AlternateContent>
  <bookViews>
    <workbookView xWindow="7635" yWindow="0" windowWidth="7680" windowHeight="9060" tabRatio="624"/>
  </bookViews>
  <sheets>
    <sheet name="利用上の注意" sheetId="97" r:id="rId1"/>
    <sheet name="浜松市" sheetId="82" r:id="rId2"/>
    <sheet name="Module8" sheetId="37" state="veryHidden" r:id="rId3"/>
    <sheet name="Module1" sheetId="38" state="veryHidden" r:id="rId4"/>
  </sheets>
  <calcPr calcId="162913"/>
</workbook>
</file>

<file path=xl/calcChain.xml><?xml version="1.0" encoding="utf-8"?>
<calcChain xmlns="http://schemas.openxmlformats.org/spreadsheetml/2006/main">
  <c r="Y36" i="82" l="1"/>
  <c r="AB34" i="82"/>
  <c r="X37" i="82"/>
  <c r="AC25" i="82"/>
  <c r="AG42" i="82"/>
  <c r="Y24" i="82"/>
  <c r="AG26" i="82"/>
  <c r="AC17" i="82"/>
  <c r="AC5" i="82"/>
  <c r="AG30" i="82"/>
  <c r="AG38" i="82"/>
  <c r="Y20" i="82"/>
  <c r="AG14" i="82"/>
  <c r="W37" i="82" l="1"/>
  <c r="AB25" i="82"/>
  <c r="X26" i="82"/>
  <c r="AC42" i="82"/>
  <c r="AG24" i="82"/>
  <c r="Y25" i="82"/>
  <c r="AC8" i="82"/>
  <c r="Y5" i="82"/>
  <c r="AC35" i="82"/>
  <c r="Y30" i="82"/>
  <c r="AG4" i="82"/>
  <c r="X16" i="82"/>
  <c r="AC18" i="82"/>
  <c r="AG32" i="82"/>
  <c r="X42" i="82"/>
  <c r="AB42" i="82"/>
  <c r="AC7" i="82"/>
  <c r="AF32" i="82"/>
  <c r="X32" i="82"/>
  <c r="AF41" i="82"/>
  <c r="X5" i="82"/>
  <c r="AF35" i="82"/>
  <c r="Y14" i="82"/>
  <c r="X44" i="82"/>
  <c r="AC11" i="82"/>
  <c r="AG18" i="82"/>
  <c r="X43" i="82"/>
  <c r="AG35" i="82"/>
  <c r="AF25" i="82"/>
  <c r="AB19" i="82"/>
  <c r="Y8" i="82"/>
  <c r="Y7" i="82"/>
  <c r="AC14" i="82"/>
  <c r="AC30" i="82"/>
  <c r="Y12" i="82"/>
  <c r="X14" i="82"/>
  <c r="AC4" i="82"/>
  <c r="Y17" i="82"/>
  <c r="AG28" i="82"/>
  <c r="AB8" i="82"/>
  <c r="Y29" i="82"/>
  <c r="AC10" i="82"/>
  <c r="AC13" i="82"/>
  <c r="AC34" i="82"/>
  <c r="AB35" i="82"/>
  <c r="X35" i="82"/>
  <c r="AC44" i="82"/>
  <c r="AF24" i="82"/>
  <c r="AB23" i="82"/>
  <c r="AC40" i="82"/>
  <c r="AB16" i="82"/>
  <c r="AF14" i="82"/>
  <c r="AB28" i="82"/>
  <c r="Y22" i="82"/>
  <c r="AF36" i="82"/>
  <c r="AG41" i="82"/>
  <c r="AB7" i="82"/>
  <c r="AB32" i="82"/>
  <c r="AC37" i="82"/>
  <c r="X6" i="82"/>
  <c r="AF20" i="82"/>
  <c r="AF17" i="82"/>
  <c r="AF16" i="82"/>
  <c r="X40" i="82"/>
  <c r="AF8" i="82"/>
  <c r="AB22" i="82"/>
  <c r="Y11" i="82"/>
  <c r="AF19" i="82"/>
  <c r="AF4" i="82"/>
  <c r="X12" i="82"/>
  <c r="AB6" i="82"/>
  <c r="AB5" i="82"/>
  <c r="X36" i="82"/>
  <c r="AF26" i="82"/>
  <c r="AG7" i="82"/>
  <c r="AB20" i="82"/>
  <c r="AC26" i="82"/>
  <c r="Y43" i="82"/>
  <c r="AB13" i="82"/>
  <c r="X38" i="82"/>
  <c r="AF6" i="82"/>
  <c r="AB17" i="82"/>
  <c r="X24" i="82"/>
  <c r="AB29" i="82"/>
  <c r="AC41" i="82"/>
  <c r="AB43" i="82"/>
  <c r="AG16" i="82"/>
  <c r="AC23" i="82"/>
  <c r="AG23" i="82"/>
  <c r="AB38" i="82"/>
  <c r="AF34" i="82"/>
  <c r="Y19" i="82"/>
  <c r="AC19" i="82"/>
  <c r="AF42" i="82"/>
  <c r="Y16" i="82"/>
  <c r="Y23" i="82"/>
  <c r="AB4" i="82"/>
  <c r="AG37" i="82"/>
  <c r="X10" i="82"/>
  <c r="AB11" i="82"/>
  <c r="AG31" i="82"/>
  <c r="AB41" i="82"/>
  <c r="AF39" i="82"/>
  <c r="Y28" i="82"/>
  <c r="Y26" i="82"/>
  <c r="AB36" i="82"/>
  <c r="AF30" i="82"/>
  <c r="AG8" i="82"/>
  <c r="AF12" i="82"/>
  <c r="AF18" i="82"/>
  <c r="AF31" i="82"/>
  <c r="AC29" i="82"/>
  <c r="X20" i="82"/>
  <c r="AF43" i="82"/>
  <c r="Y31" i="82"/>
  <c r="AG40" i="82"/>
  <c r="AG19" i="82"/>
  <c r="AB37" i="82"/>
  <c r="AF28" i="82"/>
  <c r="AG12" i="82"/>
  <c r="Y41" i="82"/>
  <c r="X17" i="82"/>
  <c r="AB31" i="82"/>
  <c r="Y10" i="82"/>
  <c r="AF10" i="82"/>
  <c r="AG17" i="82"/>
  <c r="AF38" i="82"/>
  <c r="Y34" i="82"/>
  <c r="AB40" i="82"/>
  <c r="X34" i="82"/>
  <c r="AB30" i="82"/>
  <c r="AF11" i="82"/>
  <c r="AF7" i="82"/>
  <c r="X29" i="82"/>
  <c r="AF22" i="82"/>
  <c r="AG29" i="82"/>
  <c r="AG11" i="82"/>
  <c r="AB26" i="82"/>
  <c r="Y37" i="82"/>
  <c r="AC32" i="82"/>
  <c r="AC36" i="82"/>
  <c r="AC38" i="82"/>
  <c r="X25" i="82"/>
  <c r="AC28" i="82"/>
  <c r="AG20" i="82"/>
  <c r="AF13" i="82"/>
  <c r="Y44" i="82"/>
  <c r="AC20" i="82"/>
  <c r="AB10" i="82"/>
  <c r="X7" i="82"/>
  <c r="AG13" i="82"/>
  <c r="AC16" i="82"/>
  <c r="X23" i="82"/>
  <c r="Y13" i="82"/>
  <c r="X41" i="82"/>
  <c r="AF29" i="82"/>
  <c r="AB14" i="82"/>
  <c r="AB24" i="82"/>
  <c r="AG10" i="82"/>
  <c r="X18" i="82"/>
  <c r="AC43" i="82"/>
  <c r="X31" i="82"/>
  <c r="X30" i="82"/>
  <c r="AG34" i="82"/>
  <c r="Y18" i="82"/>
  <c r="AG25" i="82"/>
  <c r="AB18" i="82"/>
  <c r="AG43" i="82"/>
  <c r="X11" i="82"/>
  <c r="AB12" i="82"/>
  <c r="Y42" i="82"/>
  <c r="AA34" i="82"/>
  <c r="AC31" i="82"/>
  <c r="Y35" i="82"/>
  <c r="X13" i="82"/>
  <c r="AC12" i="82"/>
  <c r="AF5" i="82"/>
  <c r="Y40" i="82"/>
  <c r="AG6" i="82"/>
  <c r="X19" i="82"/>
  <c r="X22" i="82"/>
  <c r="X28" i="82"/>
  <c r="AG22" i="82"/>
  <c r="X8" i="82"/>
  <c r="AC6" i="82"/>
  <c r="Y32" i="82"/>
  <c r="AF40" i="82"/>
  <c r="AG5" i="82"/>
  <c r="AG36" i="82"/>
  <c r="Y6" i="82"/>
  <c r="AG39" i="82"/>
  <c r="Y38" i="82"/>
  <c r="AC22" i="82"/>
  <c r="AF23" i="82"/>
  <c r="AC24" i="82"/>
  <c r="AF37" i="82"/>
  <c r="AB44" i="82"/>
  <c r="AC15" i="82" l="1"/>
  <c r="AC9" i="82"/>
  <c r="AC39" i="82"/>
  <c r="Y27" i="82"/>
  <c r="AB33" i="82"/>
  <c r="AE24" i="82"/>
  <c r="AA44" i="82"/>
  <c r="AE40" i="82"/>
  <c r="W30" i="82"/>
  <c r="AE28" i="82"/>
  <c r="W20" i="82"/>
  <c r="AA36" i="82"/>
  <c r="AA4" i="82"/>
  <c r="AA29" i="82"/>
  <c r="AA17" i="82"/>
  <c r="W12" i="82"/>
  <c r="W40" i="82"/>
  <c r="AE36" i="82"/>
  <c r="W43" i="82"/>
  <c r="W44" i="82"/>
  <c r="AE41" i="82"/>
  <c r="AE32" i="82"/>
  <c r="W26" i="82"/>
  <c r="AE23" i="82"/>
  <c r="AG21" i="82"/>
  <c r="AA12" i="82"/>
  <c r="AG9" i="82"/>
  <c r="AC27" i="82"/>
  <c r="AF21" i="82"/>
  <c r="W34" i="82"/>
  <c r="Y33" i="82"/>
  <c r="AF9" i="82"/>
  <c r="AE31" i="82"/>
  <c r="AE39" i="82"/>
  <c r="W10" i="82"/>
  <c r="AE42" i="82"/>
  <c r="AF33" i="82"/>
  <c r="AA43" i="82"/>
  <c r="AE26" i="82"/>
  <c r="AE19" i="82"/>
  <c r="AB21" i="82"/>
  <c r="W6" i="82"/>
  <c r="AB27" i="82"/>
  <c r="AB15" i="82"/>
  <c r="AE35" i="82"/>
  <c r="W42" i="82"/>
  <c r="X15" i="82"/>
  <c r="W19" i="82"/>
  <c r="W38" i="82"/>
  <c r="AA28" i="82"/>
  <c r="W22" i="82"/>
  <c r="W18" i="82"/>
  <c r="AA14" i="82"/>
  <c r="AB9" i="82"/>
  <c r="AE13" i="82"/>
  <c r="AA26" i="82"/>
  <c r="AE22" i="82"/>
  <c r="AE7" i="82"/>
  <c r="X33" i="82"/>
  <c r="X9" i="82"/>
  <c r="AA20" i="82"/>
  <c r="AA23" i="82"/>
  <c r="W35" i="82"/>
  <c r="AG27" i="82"/>
  <c r="W14" i="82"/>
  <c r="W16" i="82"/>
  <c r="AE11" i="82"/>
  <c r="AA41" i="82"/>
  <c r="AA32" i="82"/>
  <c r="X27" i="82"/>
  <c r="W41" i="82"/>
  <c r="X21" i="82"/>
  <c r="AA18" i="82"/>
  <c r="AA24" i="82"/>
  <c r="AE29" i="82"/>
  <c r="AA10" i="82"/>
  <c r="W25" i="82"/>
  <c r="AE10" i="82"/>
  <c r="AA31" i="82"/>
  <c r="AA37" i="82"/>
  <c r="AE34" i="82"/>
  <c r="W24" i="82"/>
  <c r="AE4" i="82"/>
  <c r="AE17" i="82"/>
  <c r="AA7" i="82"/>
  <c r="AE25" i="82"/>
  <c r="W5" i="82"/>
  <c r="Y3" i="82"/>
  <c r="W17" i="82"/>
  <c r="AA5" i="82"/>
  <c r="AE37" i="82"/>
  <c r="AE38" i="82"/>
  <c r="AE43" i="82"/>
  <c r="AE18" i="82"/>
  <c r="AE30" i="82"/>
  <c r="AE6" i="82"/>
  <c r="AA13" i="82"/>
  <c r="W36" i="82"/>
  <c r="AA6" i="82"/>
  <c r="AF3" i="82"/>
  <c r="AE16" i="82"/>
  <c r="AE20" i="82"/>
  <c r="AA16" i="82"/>
  <c r="AC33" i="82"/>
  <c r="AA8" i="82"/>
  <c r="X3" i="82"/>
  <c r="W32" i="82"/>
  <c r="AA42" i="82"/>
  <c r="AA25" i="82"/>
  <c r="AA40" i="82"/>
  <c r="AC21" i="82"/>
  <c r="W28" i="82"/>
  <c r="Y39" i="82"/>
  <c r="AG33" i="82"/>
  <c r="AA30" i="82"/>
  <c r="AA11" i="82"/>
  <c r="AB3" i="82"/>
  <c r="Y15" i="82"/>
  <c r="AA38" i="82"/>
  <c r="AG15" i="82"/>
  <c r="AE8" i="82"/>
  <c r="AC3" i="82"/>
  <c r="AG3" i="82"/>
  <c r="AE12" i="82"/>
  <c r="W8" i="82"/>
  <c r="AE5" i="82"/>
  <c r="W13" i="82"/>
  <c r="W11" i="82"/>
  <c r="W31" i="82"/>
  <c r="W23" i="82"/>
  <c r="W7" i="82"/>
  <c r="W29" i="82"/>
  <c r="AB39" i="82"/>
  <c r="Y9" i="82"/>
  <c r="AF27" i="82"/>
  <c r="AA22" i="82"/>
  <c r="X39" i="82"/>
  <c r="AF15" i="82"/>
  <c r="Y21" i="82"/>
  <c r="AE14" i="82"/>
  <c r="AA35" i="82"/>
  <c r="AA19" i="82"/>
  <c r="AG45" i="82" l="1"/>
  <c r="AA33" i="82"/>
  <c r="AA21" i="82"/>
  <c r="AE9" i="82"/>
  <c r="AF45" i="82"/>
  <c r="AE15" i="82"/>
  <c r="W21" i="82"/>
  <c r="W39" i="82"/>
  <c r="AE27" i="82"/>
  <c r="AC45" i="82"/>
  <c r="AA15" i="82"/>
  <c r="AE3" i="82"/>
  <c r="Y45" i="82"/>
  <c r="W27" i="82"/>
  <c r="X45" i="82"/>
  <c r="AE33" i="82"/>
  <c r="AA39" i="82"/>
  <c r="W3" i="82"/>
  <c r="AA9" i="82"/>
  <c r="AB45" i="82"/>
  <c r="AE21" i="82"/>
  <c r="AA3" i="82"/>
  <c r="W15" i="82"/>
  <c r="AA27" i="82"/>
  <c r="W9" i="82"/>
  <c r="W33" i="82"/>
  <c r="AF44" i="82" l="1"/>
  <c r="AG44" i="82"/>
  <c r="W45" i="82"/>
  <c r="AE45" i="82"/>
  <c r="AA45" i="82"/>
  <c r="AE44" i="82" l="1"/>
</calcChain>
</file>

<file path=xl/sharedStrings.xml><?xml version="1.0" encoding="utf-8"?>
<sst xmlns="http://schemas.openxmlformats.org/spreadsheetml/2006/main" count="103" uniqueCount="48">
  <si>
    <t>(浜　松　市）</t>
  </si>
  <si>
    <t>平均年齢</t>
  </si>
  <si>
    <t xml:space="preserve"> 年齢</t>
  </si>
  <si>
    <t>総　数</t>
  </si>
  <si>
    <t>男</t>
  </si>
  <si>
    <t>女</t>
  </si>
  <si>
    <t>計</t>
  </si>
  <si>
    <t xml:space="preserve">  0- 4</t>
  </si>
  <si>
    <t xml:space="preserve"> 35-39</t>
  </si>
  <si>
    <t xml:space="preserve"> 70-74</t>
  </si>
  <si>
    <t>年齢３階級別人口構成比</t>
  </si>
  <si>
    <t xml:space="preserve">  5- 9</t>
  </si>
  <si>
    <t xml:space="preserve"> 40-44</t>
  </si>
  <si>
    <t xml:space="preserve"> 75-79</t>
  </si>
  <si>
    <t>区　　　 分</t>
  </si>
  <si>
    <t>構成比(％)</t>
  </si>
  <si>
    <t xml:space="preserve"> 0 ～ 14 歳</t>
  </si>
  <si>
    <t>15 ～ 64 歳</t>
  </si>
  <si>
    <t>65 歳 以 上</t>
  </si>
  <si>
    <t>合　　　 計</t>
  </si>
  <si>
    <t xml:space="preserve"> 10-14</t>
  </si>
  <si>
    <t xml:space="preserve"> 45-49</t>
  </si>
  <si>
    <t xml:space="preserve"> 80-84</t>
  </si>
  <si>
    <t xml:space="preserve"> 15-19</t>
  </si>
  <si>
    <t xml:space="preserve"> 50-54</t>
  </si>
  <si>
    <t xml:space="preserve"> 85-89</t>
  </si>
  <si>
    <t xml:space="preserve"> 20-24</t>
  </si>
  <si>
    <t xml:space="preserve"> 55-59</t>
  </si>
  <si>
    <t xml:space="preserve"> 90-94</t>
  </si>
  <si>
    <t xml:space="preserve"> 25-29</t>
  </si>
  <si>
    <t xml:space="preserve"> 60-64</t>
  </si>
  <si>
    <t>95以上</t>
  </si>
  <si>
    <t xml:space="preserve"> 30-34</t>
  </si>
  <si>
    <t xml:space="preserve"> 65-69</t>
  </si>
  <si>
    <t>104以上</t>
  </si>
  <si>
    <t xml:space="preserve">  0-14</t>
  </si>
  <si>
    <t>人　　数</t>
  </si>
  <si>
    <t xml:space="preserve"> 15-64</t>
  </si>
  <si>
    <t>65以上</t>
  </si>
  <si>
    <t>町字別・年齢別人口表</t>
    <rPh sb="1" eb="2">
      <t>ジ</t>
    </rPh>
    <phoneticPr fontId="14"/>
  </si>
  <si>
    <t>注) 構成比は、小数点以下第３位を四捨五入しているため、年齢３区分の合計が100とならない場合があります。</t>
    <rPh sb="0" eb="1">
      <t>チュウ</t>
    </rPh>
    <rPh sb="3" eb="6">
      <t>コウセイヒ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ネンレイ</t>
    </rPh>
    <rPh sb="31" eb="33">
      <t>クブン</t>
    </rPh>
    <rPh sb="34" eb="36">
      <t>ゴウケイ</t>
    </rPh>
    <rPh sb="45" eb="47">
      <t>バアイ</t>
    </rPh>
    <phoneticPr fontId="14"/>
  </si>
  <si>
    <t>平均年齢計算用</t>
    <rPh sb="0" eb="4">
      <t>ヘイキンネンレイ</t>
    </rPh>
    <rPh sb="4" eb="7">
      <t>ケイサンヨウ</t>
    </rPh>
    <phoneticPr fontId="14"/>
  </si>
  <si>
    <t>　　令和８年４月１日　現在</t>
    <rPh sb="2" eb="4">
      <t>レイワ</t>
    </rPh>
    <rPh sb="5" eb="6">
      <t>ネン</t>
    </rPh>
    <phoneticPr fontId="14"/>
  </si>
  <si>
    <t>　　令和８年４月１日　現在</t>
  </si>
  <si>
    <t>利用上の注意</t>
    <rPh sb="0" eb="3">
      <t>リヨウジョウ</t>
    </rPh>
    <rPh sb="4" eb="6">
      <t>チュウイ</t>
    </rPh>
    <phoneticPr fontId="14"/>
  </si>
  <si>
    <t xml:space="preserve">　結果数字が著しく小さい町･字については、秘匿措置を行っています。
</t>
    <rPh sb="23" eb="25">
      <t>ソチ</t>
    </rPh>
    <rPh sb="26" eb="27">
      <t>オコナ</t>
    </rPh>
    <phoneticPr fontId="14"/>
  </si>
  <si>
    <t xml:space="preserve">　秘匿した町・字の数字は「x」とし、近隣の町･字に合算しています。
　なお、秘匿した町・字には「＊」を、当該数字を合算した町・字には「＠」を付与し、番号により対応させています。
</t>
    <rPh sb="1" eb="3">
      <t>ヒトク</t>
    </rPh>
    <rPh sb="5" eb="6">
      <t>マチ</t>
    </rPh>
    <rPh sb="7" eb="8">
      <t>アザ</t>
    </rPh>
    <rPh sb="9" eb="11">
      <t>スウジ</t>
    </rPh>
    <rPh sb="25" eb="27">
      <t>ガッサン</t>
    </rPh>
    <rPh sb="55" eb="56">
      <t>ジ</t>
    </rPh>
    <phoneticPr fontId="14"/>
  </si>
  <si>
    <t>　各町字名については常用漢字に変換して表示しています。</t>
    <rPh sb="3" eb="4">
      <t>アザ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</si>
</sst>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\ "/>
    <numFmt numFmtId="177" formatCode="#,##0\ ;;\-\ "/>
    <numFmt numFmtId="178" formatCode="0.00\ "/>
    <numFmt numFmtId="179" formatCode="#,##0\ \ "/>
    <numFmt numFmtId="180" formatCode="0.00\ \ "/>
  </numFmts>
  <fonts count="1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ＦＡ ゴシック"/>
      <family val="3"/>
      <charset val="128"/>
    </font>
    <font>
      <sz val="9"/>
      <color indexed="8"/>
      <name val="ＦＡ ゴシック"/>
      <family val="3"/>
      <charset val="128"/>
    </font>
    <font>
      <sz val="12"/>
      <color indexed="8"/>
      <name val="ＦＡ 明朝"/>
      <family val="1"/>
      <charset val="128"/>
    </font>
    <font>
      <b/>
      <sz val="9"/>
      <color indexed="12"/>
      <name val="ＦＡ ゴシック"/>
      <family val="3"/>
      <charset val="128"/>
    </font>
    <font>
      <sz val="11"/>
      <color indexed="8"/>
      <name val="ＦＡ ゴシック"/>
      <family val="3"/>
      <charset val="128"/>
    </font>
    <font>
      <sz val="11"/>
      <name val="ＦＡ ゴシック"/>
      <family val="3"/>
      <charset val="128"/>
    </font>
    <font>
      <sz val="9"/>
      <color indexed="12"/>
      <name val="ＦＡ ゴシック"/>
      <family val="3"/>
      <charset val="128"/>
    </font>
    <font>
      <sz val="12"/>
      <color indexed="8"/>
      <name val="ＦＡ ゴシック"/>
      <family val="3"/>
      <charset val="128"/>
    </font>
    <font>
      <b/>
      <sz val="9"/>
      <color indexed="12"/>
      <name val="ＦＡ ゴシック"/>
      <family val="3"/>
      <charset val="128"/>
    </font>
    <font>
      <b/>
      <sz val="9"/>
      <color indexed="14"/>
      <name val="ＦＡ ゴシック"/>
      <family val="3"/>
      <charset val="128"/>
    </font>
    <font>
      <b/>
      <sz val="9"/>
      <color indexed="14"/>
      <name val="ＦＡ ゴシック"/>
      <family val="3"/>
      <charset val="128"/>
    </font>
    <font>
      <b/>
      <sz val="9"/>
      <color indexed="8"/>
      <name val="ＦＡ ゴシック"/>
      <family val="3"/>
      <charset val="128"/>
    </font>
    <font>
      <sz val="7"/>
      <name val="ＭＳ 明朝"/>
      <family val="1"/>
      <charset val="128"/>
    </font>
    <font>
      <sz val="9"/>
      <name val="ＦＡ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6" fillId="0" borderId="0">
      <alignment vertical="center"/>
    </xf>
  </cellStyleXfs>
  <cellXfs count="104">
    <xf numFmtId="0" fontId="0" fillId="0" borderId="0" xfId="0"/>
    <xf numFmtId="49" fontId="0" fillId="0" borderId="5" xfId="0" applyNumberForma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0" fontId="0" fillId="0" borderId="5" xfId="0" applyFill="1" applyBorder="1" applyAlignment="1" applyProtection="1">
      <alignment horizontal="right" vertical="top"/>
    </xf>
    <xf numFmtId="0" fontId="6" fillId="0" borderId="5" xfId="0" applyFont="1" applyFill="1" applyBorder="1" applyAlignment="1" applyProtection="1">
      <alignment horizontal="right" vertical="top"/>
    </xf>
    <xf numFmtId="0" fontId="4" fillId="0" borderId="5" xfId="0" applyFont="1" applyFill="1" applyBorder="1" applyAlignment="1" applyProtection="1">
      <alignment vertical="top"/>
    </xf>
    <xf numFmtId="0" fontId="0" fillId="0" borderId="5" xfId="0" applyFill="1" applyBorder="1" applyAlignment="1" applyProtection="1">
      <alignment vertical="top"/>
    </xf>
    <xf numFmtId="0" fontId="6" fillId="0" borderId="5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top"/>
    </xf>
    <xf numFmtId="49" fontId="0" fillId="0" borderId="0" xfId="0" applyNumberFormat="1" applyFill="1" applyBorder="1" applyAlignment="1" applyProtection="1">
      <alignment vertical="top"/>
    </xf>
    <xf numFmtId="49" fontId="7" fillId="0" borderId="5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top"/>
    </xf>
    <xf numFmtId="176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Fill="1" applyBorder="1" applyAlignment="1" applyProtection="1">
      <alignment vertical="center"/>
    </xf>
    <xf numFmtId="176" fontId="5" fillId="0" borderId="10" xfId="1" applyNumberFormat="1" applyFont="1" applyFill="1" applyBorder="1" applyAlignment="1" applyProtection="1">
      <alignment vertical="center"/>
    </xf>
    <xf numFmtId="178" fontId="13" fillId="0" borderId="9" xfId="1" applyNumberFormat="1" applyFont="1" applyFill="1" applyBorder="1" applyAlignment="1" applyProtection="1">
      <alignment vertical="center"/>
    </xf>
    <xf numFmtId="178" fontId="13" fillId="0" borderId="14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5" fillId="0" borderId="2" xfId="1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vertical="center"/>
    </xf>
    <xf numFmtId="176" fontId="3" fillId="0" borderId="2" xfId="1" applyNumberFormat="1" applyFont="1" applyFill="1" applyBorder="1" applyAlignment="1" applyProtection="1">
      <alignment vertical="top"/>
    </xf>
    <xf numFmtId="177" fontId="3" fillId="0" borderId="0" xfId="1" applyNumberFormat="1" applyFont="1" applyFill="1" applyBorder="1" applyAlignment="1" applyProtection="1">
      <alignment horizontal="right" vertical="top"/>
    </xf>
    <xf numFmtId="177" fontId="3" fillId="0" borderId="0" xfId="1" applyNumberFormat="1" applyFont="1" applyFill="1" applyBorder="1" applyAlignment="1" applyProtection="1">
      <alignment horizontal="right" vertical="top"/>
      <protection locked="0"/>
    </xf>
    <xf numFmtId="176" fontId="3" fillId="0" borderId="15" xfId="1" applyNumberFormat="1" applyFont="1" applyFill="1" applyBorder="1" applyAlignment="1" applyProtection="1">
      <alignment horizontal="right" vertical="top"/>
    </xf>
    <xf numFmtId="176" fontId="3" fillId="0" borderId="0" xfId="1" applyNumberFormat="1" applyFont="1" applyFill="1" applyBorder="1" applyAlignment="1" applyProtection="1">
      <alignment vertical="top"/>
    </xf>
    <xf numFmtId="177" fontId="3" fillId="0" borderId="2" xfId="1" applyNumberFormat="1" applyFont="1" applyFill="1" applyBorder="1" applyAlignment="1" applyProtection="1">
      <alignment horizontal="right" vertical="top"/>
    </xf>
    <xf numFmtId="176" fontId="3" fillId="0" borderId="2" xfId="1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Alignment="1" applyProtection="1">
      <alignment vertical="top"/>
      <protection locked="0"/>
    </xf>
    <xf numFmtId="176" fontId="3" fillId="0" borderId="3" xfId="1" applyNumberFormat="1" applyFont="1" applyFill="1" applyBorder="1" applyAlignment="1" applyProtection="1">
      <alignment vertical="top"/>
    </xf>
    <xf numFmtId="177" fontId="3" fillId="0" borderId="17" xfId="1" applyNumberFormat="1" applyFont="1" applyFill="1" applyBorder="1" applyAlignment="1" applyProtection="1">
      <alignment horizontal="right" vertical="top"/>
    </xf>
    <xf numFmtId="177" fontId="3" fillId="0" borderId="7" xfId="1" applyNumberFormat="1" applyFont="1" applyFill="1" applyBorder="1" applyAlignment="1" applyProtection="1">
      <alignment horizontal="right" vertical="top"/>
      <protection locked="0"/>
    </xf>
    <xf numFmtId="176" fontId="3" fillId="0" borderId="16" xfId="1" applyNumberFormat="1" applyFont="1" applyFill="1" applyBorder="1" applyAlignment="1" applyProtection="1">
      <alignment horizontal="right" vertical="top"/>
    </xf>
    <xf numFmtId="177" fontId="3" fillId="0" borderId="7" xfId="1" applyNumberFormat="1" applyFont="1" applyFill="1" applyBorder="1" applyAlignment="1" applyProtection="1">
      <alignment horizontal="right" vertical="top"/>
    </xf>
    <xf numFmtId="176" fontId="6" fillId="0" borderId="5" xfId="1" applyNumberFormat="1" applyFont="1" applyFill="1" applyBorder="1" applyAlignment="1" applyProtection="1">
      <alignment vertical="top"/>
    </xf>
    <xf numFmtId="176" fontId="3" fillId="0" borderId="5" xfId="1" applyNumberFormat="1" applyFont="1" applyFill="1" applyBorder="1" applyAlignment="1" applyProtection="1">
      <alignment vertical="top"/>
    </xf>
    <xf numFmtId="177" fontId="3" fillId="0" borderId="3" xfId="1" applyNumberFormat="1" applyFont="1" applyFill="1" applyBorder="1" applyAlignment="1" applyProtection="1">
      <alignment horizontal="right" vertical="top"/>
    </xf>
    <xf numFmtId="176" fontId="3" fillId="0" borderId="3" xfId="1" applyNumberFormat="1" applyFont="1" applyFill="1" applyBorder="1" applyAlignment="1" applyProtection="1">
      <alignment horizontal="right" vertical="top"/>
    </xf>
    <xf numFmtId="176" fontId="3" fillId="0" borderId="2" xfId="1" applyNumberFormat="1" applyFont="1" applyFill="1" applyBorder="1" applyAlignment="1" applyProtection="1">
      <alignment horizontal="center"/>
    </xf>
    <xf numFmtId="176" fontId="3" fillId="0" borderId="4" xfId="1" applyNumberFormat="1" applyFont="1" applyFill="1" applyBorder="1" applyAlignment="1" applyProtection="1">
      <alignment horizontal="centerContinuous" vertical="center"/>
    </xf>
    <xf numFmtId="176" fontId="3" fillId="0" borderId="1" xfId="1" applyNumberFormat="1" applyFont="1" applyFill="1" applyBorder="1" applyAlignment="1" applyProtection="1">
      <alignment horizontal="centerContinuous" vertical="center"/>
    </xf>
    <xf numFmtId="176" fontId="3" fillId="0" borderId="11" xfId="1" applyNumberFormat="1" applyFont="1" applyFill="1" applyBorder="1" applyAlignment="1" applyProtection="1">
      <alignment horizontal="centerContinuous" vertical="center"/>
    </xf>
    <xf numFmtId="176" fontId="3" fillId="0" borderId="10" xfId="1" applyNumberFormat="1" applyFont="1" applyFill="1" applyBorder="1" applyAlignment="1" applyProtection="1">
      <alignment vertical="top"/>
    </xf>
    <xf numFmtId="176" fontId="3" fillId="0" borderId="1" xfId="1" applyNumberFormat="1" applyFont="1" applyFill="1" applyBorder="1" applyAlignment="1" applyProtection="1">
      <alignment horizontal="center" vertical="center"/>
    </xf>
    <xf numFmtId="176" fontId="3" fillId="0" borderId="12" xfId="1" applyNumberFormat="1" applyFont="1" applyFill="1" applyBorder="1" applyAlignment="1" applyProtection="1">
      <alignment horizontal="center" vertical="center"/>
    </xf>
    <xf numFmtId="176" fontId="3" fillId="0" borderId="11" xfId="1" applyNumberFormat="1" applyFont="1" applyFill="1" applyBorder="1" applyAlignment="1" applyProtection="1">
      <alignment horizontal="center" vertical="center"/>
    </xf>
    <xf numFmtId="179" fontId="3" fillId="0" borderId="12" xfId="1" applyNumberFormat="1" applyFont="1" applyFill="1" applyBorder="1" applyAlignment="1" applyProtection="1">
      <alignment vertical="center"/>
    </xf>
    <xf numFmtId="180" fontId="13" fillId="0" borderId="1" xfId="1" applyNumberFormat="1" applyFont="1" applyFill="1" applyBorder="1" applyAlignment="1" applyProtection="1">
      <alignment vertical="center"/>
    </xf>
    <xf numFmtId="180" fontId="13" fillId="0" borderId="11" xfId="1" applyNumberFormat="1" applyFont="1" applyFill="1" applyBorder="1" applyAlignment="1" applyProtection="1">
      <alignment vertical="center"/>
    </xf>
    <xf numFmtId="176" fontId="3" fillId="0" borderId="9" xfId="1" applyNumberFormat="1" applyFont="1" applyFill="1" applyBorder="1" applyAlignment="1" applyProtection="1">
      <alignment horizontal="center" vertical="center"/>
    </xf>
    <xf numFmtId="179" fontId="3" fillId="0" borderId="13" xfId="1" applyNumberFormat="1" applyFont="1" applyFill="1" applyBorder="1" applyAlignment="1" applyProtection="1">
      <alignment vertical="center"/>
    </xf>
    <xf numFmtId="180" fontId="13" fillId="0" borderId="9" xfId="1" applyNumberFormat="1" applyFont="1" applyFill="1" applyBorder="1" applyAlignment="1" applyProtection="1">
      <alignment vertical="center"/>
    </xf>
    <xf numFmtId="180" fontId="13" fillId="0" borderId="14" xfId="1" applyNumberFormat="1" applyFont="1" applyFill="1" applyBorder="1" applyAlignment="1" applyProtection="1">
      <alignment vertical="center"/>
    </xf>
    <xf numFmtId="176" fontId="15" fillId="0" borderId="0" xfId="1" applyNumberFormat="1" applyFont="1" applyFill="1" applyBorder="1" applyAlignment="1" applyProtection="1">
      <alignment vertical="center"/>
    </xf>
    <xf numFmtId="176" fontId="5" fillId="0" borderId="15" xfId="1" applyNumberFormat="1" applyFont="1" applyFill="1" applyBorder="1" applyAlignment="1" applyProtection="1">
      <alignment vertical="center"/>
    </xf>
    <xf numFmtId="176" fontId="5" fillId="0" borderId="15" xfId="1" applyNumberFormat="1" applyFont="1" applyFill="1" applyBorder="1" applyAlignment="1" applyProtection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Fill="1" applyBorder="1" applyAlignment="1" applyProtection="1">
      <alignment horizontal="right"/>
    </xf>
    <xf numFmtId="177" fontId="3" fillId="0" borderId="0" xfId="1" applyNumberFormat="1" applyFont="1" applyFill="1" applyBorder="1" applyAlignment="1" applyProtection="1">
      <alignment horizontal="right"/>
    </xf>
    <xf numFmtId="176" fontId="3" fillId="0" borderId="15" xfId="1" applyNumberFormat="1" applyFont="1" applyFill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horizontal="right" vertical="center"/>
      <protection locked="0"/>
    </xf>
    <xf numFmtId="176" fontId="3" fillId="0" borderId="2" xfId="1" applyNumberFormat="1" applyFont="1" applyFill="1" applyBorder="1" applyAlignment="1" applyProtection="1">
      <alignment horizontal="right" vertical="center"/>
    </xf>
    <xf numFmtId="176" fontId="3" fillId="0" borderId="16" xfId="1" applyNumberFormat="1" applyFont="1" applyFill="1" applyBorder="1" applyAlignment="1" applyProtection="1">
      <alignment horizontal="center" vertical="top"/>
    </xf>
    <xf numFmtId="176" fontId="3" fillId="0" borderId="3" xfId="1" applyNumberFormat="1" applyFont="1" applyFill="1" applyBorder="1" applyAlignment="1" applyProtection="1">
      <alignment horizontal="center" vertical="top"/>
    </xf>
    <xf numFmtId="176" fontId="3" fillId="0" borderId="6" xfId="1" applyNumberFormat="1" applyFont="1" applyFill="1" applyBorder="1" applyAlignment="1" applyProtection="1">
      <alignment vertical="top"/>
    </xf>
    <xf numFmtId="176" fontId="3" fillId="0" borderId="15" xfId="1" applyNumberFormat="1" applyFont="1" applyFill="1" applyBorder="1" applyAlignment="1" applyProtection="1">
      <alignment horizontal="center" vertical="center"/>
    </xf>
    <xf numFmtId="177" fontId="3" fillId="0" borderId="8" xfId="1" applyNumberFormat="1" applyFont="1" applyFill="1" applyBorder="1" applyAlignment="1" applyProtection="1">
      <alignment horizontal="right" vertical="top"/>
    </xf>
    <xf numFmtId="177" fontId="3" fillId="0" borderId="6" xfId="1" applyNumberFormat="1" applyFont="1" applyFill="1" applyBorder="1" applyAlignment="1" applyProtection="1">
      <alignment horizontal="right" vertical="top"/>
    </xf>
    <xf numFmtId="176" fontId="3" fillId="0" borderId="6" xfId="1" applyNumberFormat="1" applyFont="1" applyFill="1" applyBorder="1" applyAlignment="1" applyProtection="1">
      <alignment horizontal="right" vertical="top"/>
    </xf>
    <xf numFmtId="176" fontId="3" fillId="0" borderId="6" xfId="1" applyNumberFormat="1" applyFont="1" applyFill="1" applyBorder="1" applyAlignment="1" applyProtection="1">
      <alignment horizontal="center" vertical="center"/>
    </xf>
    <xf numFmtId="177" fontId="3" fillId="0" borderId="8" xfId="1" applyNumberFormat="1" applyFont="1" applyFill="1" applyBorder="1" applyAlignment="1" applyProtection="1">
      <alignment horizontal="right" vertical="center"/>
    </xf>
    <xf numFmtId="176" fontId="11" fillId="0" borderId="9" xfId="1" applyNumberFormat="1" applyFont="1" applyFill="1" applyBorder="1" applyAlignment="1" applyProtection="1">
      <alignment vertical="center"/>
    </xf>
    <xf numFmtId="177" fontId="12" fillId="0" borderId="18" xfId="0" applyNumberFormat="1" applyFont="1" applyFill="1" applyBorder="1" applyAlignment="1" applyProtection="1">
      <alignment vertical="center"/>
    </xf>
    <xf numFmtId="177" fontId="12" fillId="0" borderId="19" xfId="0" applyNumberFormat="1" applyFont="1" applyFill="1" applyBorder="1" applyAlignment="1" applyProtection="1">
      <alignment vertical="center"/>
    </xf>
    <xf numFmtId="176" fontId="12" fillId="0" borderId="20" xfId="1" applyNumberFormat="1" applyFont="1" applyFill="1" applyBorder="1" applyAlignment="1" applyProtection="1">
      <alignment vertical="center"/>
    </xf>
    <xf numFmtId="176" fontId="12" fillId="0" borderId="20" xfId="1" applyNumberFormat="1" applyFont="1" applyFill="1" applyBorder="1" applyAlignment="1" applyProtection="1">
      <alignment horizontal="center" vertical="center"/>
    </xf>
    <xf numFmtId="176" fontId="11" fillId="0" borderId="0" xfId="1" applyNumberFormat="1" applyFont="1" applyFill="1" applyBorder="1" applyAlignment="1" applyProtection="1">
      <alignment vertical="center"/>
    </xf>
    <xf numFmtId="177" fontId="11" fillId="0" borderId="5" xfId="1" applyNumberFormat="1" applyFont="1" applyFill="1" applyBorder="1" applyAlignment="1" applyProtection="1">
      <alignment horizontal="right" vertical="center"/>
    </xf>
    <xf numFmtId="177" fontId="11" fillId="0" borderId="9" xfId="1" applyNumberFormat="1" applyFont="1" applyFill="1" applyBorder="1" applyAlignment="1" applyProtection="1">
      <alignment horizontal="right" vertical="center"/>
    </xf>
    <xf numFmtId="176" fontId="11" fillId="0" borderId="9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distributed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12" sqref="A12:G12"/>
    </sheetView>
  </sheetViews>
  <sheetFormatPr defaultRowHeight="17.25"/>
  <cols>
    <col min="1" max="7" width="9.59765625" customWidth="1"/>
  </cols>
  <sheetData>
    <row r="1" spans="1:7">
      <c r="A1" s="99"/>
      <c r="B1" s="99"/>
      <c r="C1" s="99"/>
      <c r="D1" s="99"/>
      <c r="E1" s="99"/>
      <c r="F1" s="99"/>
      <c r="G1" s="99"/>
    </row>
    <row r="2" spans="1:7">
      <c r="A2" s="99"/>
      <c r="B2" s="99"/>
      <c r="C2" s="99"/>
      <c r="D2" s="99"/>
      <c r="E2" s="99"/>
      <c r="F2" s="99"/>
      <c r="G2" s="99"/>
    </row>
    <row r="3" spans="1:7">
      <c r="A3" s="99"/>
      <c r="B3" s="99"/>
      <c r="C3" s="99"/>
      <c r="D3" s="99"/>
      <c r="E3" s="99"/>
      <c r="F3" s="99"/>
      <c r="G3" s="99"/>
    </row>
    <row r="4" spans="1:7">
      <c r="A4" s="99"/>
      <c r="B4" s="99"/>
      <c r="C4" s="99"/>
      <c r="D4" s="99"/>
      <c r="E4" s="99"/>
      <c r="F4" s="99"/>
      <c r="G4" s="99"/>
    </row>
    <row r="5" spans="1:7" ht="18.75">
      <c r="A5" s="102" t="s">
        <v>44</v>
      </c>
      <c r="B5" s="102"/>
      <c r="C5" s="102"/>
      <c r="D5" s="102"/>
      <c r="E5" s="102"/>
      <c r="F5" s="102"/>
      <c r="G5" s="102"/>
    </row>
    <row r="6" spans="1:7" ht="18.75">
      <c r="A6" s="100"/>
      <c r="B6" s="100"/>
      <c r="C6" s="100"/>
      <c r="D6" s="100"/>
      <c r="E6" s="100"/>
      <c r="F6" s="100"/>
      <c r="G6" s="100"/>
    </row>
    <row r="7" spans="1:7" ht="18.75">
      <c r="A7" s="100"/>
      <c r="B7" s="100"/>
      <c r="C7" s="100"/>
      <c r="D7" s="100"/>
      <c r="E7" s="100"/>
      <c r="F7" s="100"/>
      <c r="G7" s="100"/>
    </row>
    <row r="8" spans="1:7" ht="32.25" customHeight="1">
      <c r="A8" s="103" t="s">
        <v>45</v>
      </c>
      <c r="B8" s="103"/>
      <c r="C8" s="103"/>
      <c r="D8" s="103"/>
      <c r="E8" s="103"/>
      <c r="F8" s="103"/>
      <c r="G8" s="103"/>
    </row>
    <row r="9" spans="1:7" ht="60" customHeight="1">
      <c r="A9" s="103" t="s">
        <v>46</v>
      </c>
      <c r="B9" s="103"/>
      <c r="C9" s="103"/>
      <c r="D9" s="103"/>
      <c r="E9" s="103"/>
      <c r="F9" s="103"/>
      <c r="G9" s="103"/>
    </row>
    <row r="10" spans="1:7" ht="23.25" customHeight="1">
      <c r="A10" s="103" t="s">
        <v>47</v>
      </c>
      <c r="B10" s="103"/>
      <c r="C10" s="103"/>
      <c r="D10" s="103"/>
      <c r="E10" s="103"/>
      <c r="F10" s="103"/>
      <c r="G10" s="103"/>
    </row>
    <row r="11" spans="1:7">
      <c r="A11" s="101"/>
      <c r="B11" s="101"/>
      <c r="C11" s="101"/>
      <c r="D11" s="101"/>
      <c r="E11" s="101"/>
      <c r="F11" s="101"/>
      <c r="G11" s="101"/>
    </row>
    <row r="12" spans="1:7">
      <c r="A12" s="101"/>
      <c r="B12" s="101"/>
      <c r="C12" s="101"/>
      <c r="D12" s="101"/>
      <c r="E12" s="101"/>
      <c r="F12" s="101"/>
      <c r="G12" s="101"/>
    </row>
    <row r="13" spans="1:7">
      <c r="A13" s="99"/>
      <c r="B13" s="99"/>
      <c r="C13" s="99"/>
      <c r="D13" s="99"/>
      <c r="E13" s="99"/>
      <c r="F13" s="99"/>
      <c r="G13" s="99"/>
    </row>
    <row r="14" spans="1:7">
      <c r="A14" s="99"/>
      <c r="B14" s="99"/>
      <c r="C14" s="99"/>
      <c r="D14" s="99"/>
      <c r="E14" s="99"/>
      <c r="F14" s="99"/>
      <c r="G14" s="99"/>
    </row>
    <row r="15" spans="1:7">
      <c r="A15" s="99"/>
      <c r="B15" s="99"/>
      <c r="C15" s="99"/>
      <c r="D15" s="99"/>
      <c r="E15" s="99"/>
      <c r="F15" s="99"/>
      <c r="G15" s="99"/>
    </row>
    <row r="16" spans="1:7">
      <c r="A16" s="99"/>
      <c r="B16" s="99"/>
      <c r="C16" s="99"/>
      <c r="D16" s="99"/>
      <c r="E16" s="99"/>
      <c r="F16" s="99"/>
      <c r="G16" s="99"/>
    </row>
    <row r="17" spans="1:7">
      <c r="A17" s="99"/>
      <c r="B17" s="99"/>
      <c r="C17" s="99"/>
      <c r="D17" s="99"/>
      <c r="E17" s="99"/>
      <c r="F17" s="99"/>
      <c r="G17" s="99"/>
    </row>
    <row r="18" spans="1:7">
      <c r="A18" s="99"/>
      <c r="B18" s="99"/>
      <c r="C18" s="99"/>
      <c r="D18" s="99"/>
      <c r="E18" s="99"/>
      <c r="F18" s="99"/>
      <c r="G18" s="99"/>
    </row>
    <row r="19" spans="1:7">
      <c r="A19" s="99"/>
      <c r="B19" s="99"/>
      <c r="C19" s="99"/>
      <c r="D19" s="99"/>
      <c r="E19" s="99"/>
      <c r="F19" s="99"/>
      <c r="G19" s="99"/>
    </row>
    <row r="20" spans="1:7">
      <c r="A20" s="99"/>
      <c r="B20" s="99"/>
      <c r="C20" s="99"/>
      <c r="D20" s="99"/>
      <c r="E20" s="99"/>
      <c r="F20" s="99"/>
      <c r="G20" s="99"/>
    </row>
    <row r="21" spans="1:7">
      <c r="A21" s="99"/>
      <c r="B21" s="99"/>
      <c r="C21" s="99"/>
      <c r="D21" s="99"/>
      <c r="E21" s="99"/>
      <c r="F21" s="99"/>
      <c r="G21" s="99"/>
    </row>
    <row r="22" spans="1:7">
      <c r="A22" s="99"/>
      <c r="B22" s="99"/>
      <c r="C22" s="99"/>
      <c r="D22" s="99"/>
      <c r="E22" s="99"/>
      <c r="F22" s="99"/>
      <c r="G22" s="99"/>
    </row>
    <row r="23" spans="1:7">
      <c r="A23" s="99"/>
      <c r="B23" s="99"/>
      <c r="C23" s="99"/>
      <c r="D23" s="99"/>
      <c r="E23" s="99"/>
      <c r="F23" s="99"/>
      <c r="G23" s="99"/>
    </row>
    <row r="24" spans="1:7">
      <c r="A24" s="99"/>
      <c r="B24" s="99"/>
      <c r="C24" s="99"/>
      <c r="D24" s="99"/>
      <c r="E24" s="99"/>
      <c r="F24" s="99"/>
      <c r="G24" s="99"/>
    </row>
    <row r="25" spans="1:7">
      <c r="A25" s="99"/>
      <c r="B25" s="99"/>
      <c r="C25" s="99"/>
      <c r="D25" s="99"/>
      <c r="E25" s="99"/>
      <c r="F25" s="99"/>
      <c r="G25" s="99"/>
    </row>
    <row r="26" spans="1:7">
      <c r="A26" s="99"/>
      <c r="B26" s="99"/>
      <c r="C26" s="99"/>
      <c r="D26" s="99"/>
      <c r="E26" s="99"/>
      <c r="F26" s="99"/>
      <c r="G26" s="99"/>
    </row>
    <row r="27" spans="1:7">
      <c r="A27" s="99"/>
      <c r="B27" s="99"/>
      <c r="C27" s="99"/>
      <c r="D27" s="99"/>
      <c r="E27" s="99"/>
      <c r="F27" s="99"/>
      <c r="G27" s="99"/>
    </row>
    <row r="28" spans="1:7">
      <c r="A28" s="99"/>
      <c r="B28" s="99"/>
      <c r="C28" s="99"/>
      <c r="D28" s="99"/>
      <c r="E28" s="99"/>
      <c r="F28" s="99"/>
      <c r="G28" s="99"/>
    </row>
    <row r="29" spans="1:7">
      <c r="A29" s="99"/>
      <c r="B29" s="99"/>
      <c r="C29" s="99"/>
      <c r="D29" s="99"/>
      <c r="E29" s="99"/>
      <c r="F29" s="99"/>
      <c r="G29" s="99"/>
    </row>
    <row r="30" spans="1:7">
      <c r="A30" s="99"/>
      <c r="B30" s="99"/>
      <c r="C30" s="99"/>
      <c r="D30" s="99"/>
      <c r="E30" s="99"/>
      <c r="F30" s="99"/>
      <c r="G30" s="99"/>
    </row>
    <row r="31" spans="1:7">
      <c r="A31" s="99"/>
      <c r="B31" s="99"/>
      <c r="C31" s="99"/>
      <c r="D31" s="99"/>
      <c r="E31" s="99"/>
      <c r="F31" s="99"/>
      <c r="G31" s="99"/>
    </row>
    <row r="32" spans="1:7">
      <c r="A32" s="99"/>
      <c r="B32" s="99"/>
      <c r="C32" s="99"/>
      <c r="D32" s="99"/>
      <c r="E32" s="99"/>
      <c r="F32" s="99"/>
      <c r="G32" s="99"/>
    </row>
    <row r="33" spans="1:7">
      <c r="A33" s="99"/>
      <c r="B33" s="99"/>
      <c r="C33" s="99"/>
      <c r="D33" s="99"/>
      <c r="E33" s="99"/>
      <c r="F33" s="99"/>
      <c r="G33" s="99"/>
    </row>
    <row r="34" spans="1:7">
      <c r="A34" s="99"/>
      <c r="B34" s="99"/>
      <c r="C34" s="99"/>
      <c r="D34" s="99"/>
      <c r="E34" s="99"/>
      <c r="F34" s="99"/>
      <c r="G34" s="99"/>
    </row>
    <row r="35" spans="1:7">
      <c r="A35" s="99"/>
      <c r="B35" s="99"/>
      <c r="C35" s="99"/>
      <c r="D35" s="99"/>
      <c r="E35" s="99"/>
      <c r="F35" s="99"/>
      <c r="G35" s="99"/>
    </row>
    <row r="36" spans="1:7">
      <c r="A36" s="99"/>
      <c r="B36" s="99"/>
      <c r="C36" s="99"/>
      <c r="D36" s="99"/>
      <c r="E36" s="99"/>
      <c r="F36" s="99"/>
      <c r="G36" s="99"/>
    </row>
    <row r="37" spans="1:7">
      <c r="A37" s="99"/>
      <c r="B37" s="99"/>
      <c r="C37" s="99"/>
      <c r="D37" s="99"/>
      <c r="E37" s="99"/>
      <c r="F37" s="99"/>
      <c r="G37" s="99"/>
    </row>
    <row r="38" spans="1:7">
      <c r="A38" s="99"/>
      <c r="B38" s="99"/>
      <c r="C38" s="99"/>
      <c r="D38" s="99"/>
      <c r="E38" s="99"/>
      <c r="F38" s="99"/>
      <c r="G38" s="99"/>
    </row>
    <row r="39" spans="1:7">
      <c r="A39" s="99"/>
      <c r="B39" s="99"/>
      <c r="C39" s="99"/>
      <c r="D39" s="99"/>
      <c r="E39" s="99"/>
      <c r="F39" s="99"/>
      <c r="G39" s="99"/>
    </row>
    <row r="40" spans="1:7">
      <c r="A40" s="99"/>
      <c r="B40" s="99"/>
      <c r="C40" s="99"/>
      <c r="D40" s="99"/>
      <c r="E40" s="99"/>
      <c r="F40" s="99"/>
      <c r="G40" s="99"/>
    </row>
    <row r="41" spans="1:7">
      <c r="A41" s="99"/>
      <c r="B41" s="99"/>
      <c r="C41" s="99"/>
      <c r="D41" s="99"/>
      <c r="E41" s="99"/>
      <c r="F41" s="99"/>
      <c r="G41" s="99"/>
    </row>
    <row r="42" spans="1:7">
      <c r="A42" s="99"/>
      <c r="B42" s="99"/>
      <c r="C42" s="99"/>
      <c r="D42" s="99"/>
      <c r="E42" s="99"/>
      <c r="F42" s="99"/>
      <c r="G42" s="99"/>
    </row>
    <row r="43" spans="1:7">
      <c r="A43" s="99"/>
      <c r="B43" s="99"/>
      <c r="C43" s="99"/>
      <c r="D43" s="99"/>
      <c r="E43" s="99"/>
      <c r="F43" s="99"/>
      <c r="G43" s="99"/>
    </row>
    <row r="44" spans="1:7">
      <c r="A44" s="99"/>
      <c r="B44" s="99"/>
      <c r="C44" s="99"/>
      <c r="D44" s="99"/>
      <c r="E44" s="99"/>
      <c r="F44" s="99"/>
      <c r="G44" s="99"/>
    </row>
    <row r="45" spans="1:7">
      <c r="A45" s="99"/>
      <c r="B45" s="99"/>
      <c r="C45" s="99"/>
      <c r="D45" s="99"/>
      <c r="E45" s="99"/>
      <c r="F45" s="99"/>
      <c r="G45" s="99"/>
    </row>
  </sheetData>
  <mergeCells count="6">
    <mergeCell ref="A12:G12"/>
    <mergeCell ref="A5:G5"/>
    <mergeCell ref="A8:G8"/>
    <mergeCell ref="A9:G9"/>
    <mergeCell ref="A10:G10"/>
    <mergeCell ref="A11:G11"/>
  </mergeCells>
  <phoneticPr fontId="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5">
    <tabColor rgb="FFFFFF00"/>
  </sheetPr>
  <dimension ref="A1:AG45"/>
  <sheetViews>
    <sheetView view="pageBreakPreview" topLeftCell="A3" zoomScale="70" zoomScaleNormal="100" zoomScaleSheetLayoutView="70" workbookViewId="0">
      <selection activeCell="E4" sqref="E4"/>
    </sheetView>
  </sheetViews>
  <sheetFormatPr defaultRowHeight="11.25"/>
  <cols>
    <col min="1" max="1" width="5.19921875" style="94" customWidth="1"/>
    <col min="2" max="4" width="6.3984375" style="95" customWidth="1"/>
    <col min="5" max="5" width="5.19921875" style="96" customWidth="1"/>
    <col min="6" max="6" width="6.3984375" style="97" customWidth="1"/>
    <col min="7" max="8" width="6.3984375" style="93" customWidth="1"/>
    <col min="9" max="9" width="5.19921875" style="96" customWidth="1"/>
    <col min="10" max="10" width="6.3984375" style="97" customWidth="1"/>
    <col min="11" max="12" width="6.3984375" style="93" customWidth="1"/>
    <col min="13" max="13" width="3.69921875" style="98" customWidth="1"/>
    <col min="14" max="20" width="9.3984375" style="98" customWidth="1"/>
    <col min="21" max="21" width="3.69921875" style="98" customWidth="1"/>
    <col min="22" max="22" width="5.19921875" style="94" hidden="1" customWidth="1"/>
    <col min="23" max="25" width="6.3984375" style="95" hidden="1" customWidth="1"/>
    <col min="26" max="26" width="5.19921875" style="96" hidden="1" customWidth="1"/>
    <col min="27" max="27" width="6.3984375" style="97" hidden="1" customWidth="1"/>
    <col min="28" max="29" width="6.3984375" style="93" hidden="1" customWidth="1"/>
    <col min="30" max="30" width="5.19921875" style="96" hidden="1" customWidth="1"/>
    <col min="31" max="31" width="6.3984375" style="97" hidden="1" customWidth="1"/>
    <col min="32" max="33" width="6.3984375" style="93" hidden="1" customWidth="1"/>
    <col min="34" max="16384" width="8.796875" style="93"/>
  </cols>
  <sheetData>
    <row r="1" spans="1:33" s="13" customFormat="1" ht="24" customHeight="1" thickBot="1">
      <c r="A1" s="1"/>
      <c r="B1" s="2" t="s">
        <v>39</v>
      </c>
      <c r="C1" s="3"/>
      <c r="D1" s="4"/>
      <c r="E1" s="5"/>
      <c r="F1" s="6"/>
      <c r="G1" s="7" t="s">
        <v>42</v>
      </c>
      <c r="H1" s="6"/>
      <c r="I1" s="5"/>
      <c r="J1" s="6"/>
      <c r="K1" s="8" t="s">
        <v>0</v>
      </c>
      <c r="L1" s="9"/>
      <c r="M1" s="10"/>
      <c r="N1" s="11" t="s">
        <v>1</v>
      </c>
      <c r="O1" s="1"/>
      <c r="P1" s="1"/>
      <c r="Q1" s="10"/>
      <c r="R1" s="10"/>
      <c r="S1" s="10"/>
      <c r="T1" s="12" t="s">
        <v>43</v>
      </c>
      <c r="U1" s="10"/>
      <c r="V1" s="1"/>
      <c r="W1" s="2" t="s">
        <v>41</v>
      </c>
      <c r="X1" s="3"/>
      <c r="Y1" s="4"/>
      <c r="Z1" s="5"/>
      <c r="AA1" s="6"/>
      <c r="AB1" s="7"/>
      <c r="AC1" s="6"/>
      <c r="AD1" s="5"/>
      <c r="AE1" s="6"/>
      <c r="AF1" s="8"/>
      <c r="AG1" s="9"/>
    </row>
    <row r="2" spans="1:33" s="22" customFormat="1" ht="21" customHeight="1">
      <c r="A2" s="14" t="s">
        <v>2</v>
      </c>
      <c r="B2" s="15" t="s">
        <v>3</v>
      </c>
      <c r="C2" s="15" t="s">
        <v>4</v>
      </c>
      <c r="D2" s="16" t="s">
        <v>5</v>
      </c>
      <c r="E2" s="14" t="s">
        <v>2</v>
      </c>
      <c r="F2" s="15" t="s">
        <v>3</v>
      </c>
      <c r="G2" s="15" t="s">
        <v>4</v>
      </c>
      <c r="H2" s="16" t="s">
        <v>5</v>
      </c>
      <c r="I2" s="14" t="s">
        <v>2</v>
      </c>
      <c r="J2" s="15" t="s">
        <v>3</v>
      </c>
      <c r="K2" s="15" t="s">
        <v>4</v>
      </c>
      <c r="L2" s="17" t="s">
        <v>5</v>
      </c>
      <c r="M2" s="18"/>
      <c r="N2" s="19" t="s">
        <v>4</v>
      </c>
      <c r="O2" s="19" t="s">
        <v>5</v>
      </c>
      <c r="P2" s="20" t="s">
        <v>6</v>
      </c>
      <c r="Q2" s="21"/>
      <c r="R2" s="21"/>
      <c r="S2" s="21"/>
      <c r="T2" s="21"/>
      <c r="U2" s="21"/>
      <c r="V2" s="14" t="s">
        <v>2</v>
      </c>
      <c r="W2" s="15" t="s">
        <v>3</v>
      </c>
      <c r="X2" s="15" t="s">
        <v>4</v>
      </c>
      <c r="Y2" s="16" t="s">
        <v>5</v>
      </c>
      <c r="Z2" s="14" t="s">
        <v>2</v>
      </c>
      <c r="AA2" s="15" t="s">
        <v>3</v>
      </c>
      <c r="AB2" s="15" t="s">
        <v>4</v>
      </c>
      <c r="AC2" s="16" t="s">
        <v>5</v>
      </c>
      <c r="AD2" s="14" t="s">
        <v>2</v>
      </c>
      <c r="AE2" s="15" t="s">
        <v>3</v>
      </c>
      <c r="AF2" s="15" t="s">
        <v>4</v>
      </c>
      <c r="AG2" s="17" t="s">
        <v>5</v>
      </c>
    </row>
    <row r="3" spans="1:33" s="32" customFormat="1" ht="25.5" customHeight="1" thickBot="1">
      <c r="A3" s="23" t="s">
        <v>7</v>
      </c>
      <c r="B3" s="24">
        <v>23690</v>
      </c>
      <c r="C3" s="24">
        <v>12092</v>
      </c>
      <c r="D3" s="24">
        <v>11598</v>
      </c>
      <c r="E3" s="25" t="s">
        <v>8</v>
      </c>
      <c r="F3" s="24">
        <v>41598</v>
      </c>
      <c r="G3" s="24">
        <v>21930</v>
      </c>
      <c r="H3" s="24">
        <v>19668</v>
      </c>
      <c r="I3" s="25" t="s">
        <v>9</v>
      </c>
      <c r="J3" s="24">
        <v>47498</v>
      </c>
      <c r="K3" s="24">
        <v>23115</v>
      </c>
      <c r="L3" s="24">
        <v>24383</v>
      </c>
      <c r="M3" s="26"/>
      <c r="N3" s="27">
        <v>46.615893611629701</v>
      </c>
      <c r="O3" s="27">
        <v>49.595444571069891</v>
      </c>
      <c r="P3" s="28">
        <v>48.109490274767012</v>
      </c>
      <c r="Q3" s="29"/>
      <c r="R3" s="29"/>
      <c r="S3" s="29"/>
      <c r="T3" s="29"/>
      <c r="U3" s="29"/>
      <c r="V3" s="23" t="s">
        <v>7</v>
      </c>
      <c r="W3" s="30">
        <f>SUM(W4:W8)</f>
        <v>49738</v>
      </c>
      <c r="X3" s="30">
        <f>SUM(X4:X8)</f>
        <v>25386</v>
      </c>
      <c r="Y3" s="31">
        <f>SUM(Y4:Y8)</f>
        <v>24352</v>
      </c>
      <c r="Z3" s="23" t="s">
        <v>8</v>
      </c>
      <c r="AA3" s="30">
        <f>SUM(AA4:AA8)</f>
        <v>1541979</v>
      </c>
      <c r="AB3" s="30">
        <f>SUM(AB4:AB8)</f>
        <v>812918</v>
      </c>
      <c r="AC3" s="31">
        <f>SUM(AC4:AC8)</f>
        <v>729061</v>
      </c>
      <c r="AD3" s="23" t="s">
        <v>9</v>
      </c>
      <c r="AE3" s="30">
        <f>SUM(AE4:AE8)</f>
        <v>3421724</v>
      </c>
      <c r="AF3" s="30">
        <f>SUM(AF4:AF8)</f>
        <v>1664363</v>
      </c>
      <c r="AG3" s="30">
        <f>SUM(AG4:AG8)</f>
        <v>1757361</v>
      </c>
    </row>
    <row r="4" spans="1:33" s="40" customFormat="1" ht="15.75" customHeight="1">
      <c r="A4" s="33">
        <v>0</v>
      </c>
      <c r="B4" s="34">
        <v>4373</v>
      </c>
      <c r="C4" s="35">
        <v>2243</v>
      </c>
      <c r="D4" s="35">
        <v>2130</v>
      </c>
      <c r="E4" s="36">
        <v>35</v>
      </c>
      <c r="F4" s="34">
        <v>7665</v>
      </c>
      <c r="G4" s="35">
        <v>4057</v>
      </c>
      <c r="H4" s="35">
        <v>3608</v>
      </c>
      <c r="I4" s="36">
        <v>70</v>
      </c>
      <c r="J4" s="34">
        <v>9419</v>
      </c>
      <c r="K4" s="35">
        <v>4798</v>
      </c>
      <c r="L4" s="35">
        <v>4621</v>
      </c>
      <c r="M4" s="37"/>
      <c r="N4" s="37"/>
      <c r="O4" s="37"/>
      <c r="P4" s="37"/>
      <c r="Q4" s="37"/>
      <c r="R4" s="37"/>
      <c r="S4" s="37"/>
      <c r="T4" s="37"/>
      <c r="U4" s="37"/>
      <c r="V4" s="33">
        <v>0</v>
      </c>
      <c r="W4" s="34">
        <v>0</v>
      </c>
      <c r="X4" s="34">
        <v>0</v>
      </c>
      <c r="Y4" s="38">
        <v>0</v>
      </c>
      <c r="Z4" s="39">
        <v>35</v>
      </c>
      <c r="AA4" s="34">
        <f>F4*35</f>
        <v>268275</v>
      </c>
      <c r="AB4" s="34">
        <f>G4*35</f>
        <v>141995</v>
      </c>
      <c r="AC4" s="38">
        <f>H4*35</f>
        <v>126280</v>
      </c>
      <c r="AD4" s="39">
        <v>70</v>
      </c>
      <c r="AE4" s="34">
        <f>J4*70</f>
        <v>659330</v>
      </c>
      <c r="AF4" s="34">
        <f>K4*70</f>
        <v>335860</v>
      </c>
      <c r="AG4" s="34">
        <f>L4*70</f>
        <v>323470</v>
      </c>
    </row>
    <row r="5" spans="1:33" s="40" customFormat="1" ht="15.75" customHeight="1">
      <c r="A5" s="33">
        <v>1</v>
      </c>
      <c r="B5" s="34">
        <v>4373</v>
      </c>
      <c r="C5" s="35">
        <v>2212</v>
      </c>
      <c r="D5" s="35">
        <v>2161</v>
      </c>
      <c r="E5" s="36">
        <v>36</v>
      </c>
      <c r="F5" s="34">
        <v>8045</v>
      </c>
      <c r="G5" s="35">
        <v>4203</v>
      </c>
      <c r="H5" s="35">
        <v>3842</v>
      </c>
      <c r="I5" s="36">
        <v>71</v>
      </c>
      <c r="J5" s="34">
        <v>9166</v>
      </c>
      <c r="K5" s="35">
        <v>4526</v>
      </c>
      <c r="L5" s="35">
        <v>4640</v>
      </c>
      <c r="M5" s="37"/>
      <c r="N5" s="37"/>
      <c r="O5" s="37"/>
      <c r="P5" s="37"/>
      <c r="Q5" s="37"/>
      <c r="R5" s="37"/>
      <c r="S5" s="37"/>
      <c r="T5" s="37"/>
      <c r="U5" s="37"/>
      <c r="V5" s="33">
        <v>1</v>
      </c>
      <c r="W5" s="34">
        <f>B5</f>
        <v>4373</v>
      </c>
      <c r="X5" s="34">
        <f>C5</f>
        <v>2212</v>
      </c>
      <c r="Y5" s="38">
        <f>D5</f>
        <v>2161</v>
      </c>
      <c r="Z5" s="39">
        <v>36</v>
      </c>
      <c r="AA5" s="34">
        <f>F5*36</f>
        <v>289620</v>
      </c>
      <c r="AB5" s="34">
        <f>G5*36</f>
        <v>151308</v>
      </c>
      <c r="AC5" s="38">
        <f>H5*36</f>
        <v>138312</v>
      </c>
      <c r="AD5" s="39">
        <v>71</v>
      </c>
      <c r="AE5" s="34">
        <f>J5*71</f>
        <v>650786</v>
      </c>
      <c r="AF5" s="34">
        <f>K5*71</f>
        <v>321346</v>
      </c>
      <c r="AG5" s="34">
        <f>L5*71</f>
        <v>329440</v>
      </c>
    </row>
    <row r="6" spans="1:33" s="40" customFormat="1" ht="15.75" customHeight="1">
      <c r="A6" s="33">
        <v>2</v>
      </c>
      <c r="B6" s="34">
        <v>4714</v>
      </c>
      <c r="C6" s="35">
        <v>2426</v>
      </c>
      <c r="D6" s="35">
        <v>2288</v>
      </c>
      <c r="E6" s="36">
        <v>37</v>
      </c>
      <c r="F6" s="34">
        <v>8401</v>
      </c>
      <c r="G6" s="35">
        <v>4479</v>
      </c>
      <c r="H6" s="35">
        <v>3922</v>
      </c>
      <c r="I6" s="36">
        <v>72</v>
      </c>
      <c r="J6" s="34">
        <v>9193</v>
      </c>
      <c r="K6" s="35">
        <v>4407</v>
      </c>
      <c r="L6" s="35">
        <v>4786</v>
      </c>
      <c r="M6" s="37"/>
      <c r="N6" s="37"/>
      <c r="O6" s="37"/>
      <c r="P6" s="37"/>
      <c r="Q6" s="37"/>
      <c r="R6" s="37"/>
      <c r="S6" s="37"/>
      <c r="T6" s="37"/>
      <c r="U6" s="37"/>
      <c r="V6" s="33">
        <v>2</v>
      </c>
      <c r="W6" s="34">
        <f>B6*2</f>
        <v>9428</v>
      </c>
      <c r="X6" s="34">
        <f>C6*2</f>
        <v>4852</v>
      </c>
      <c r="Y6" s="38">
        <f>D6*2</f>
        <v>4576</v>
      </c>
      <c r="Z6" s="39">
        <v>37</v>
      </c>
      <c r="AA6" s="34">
        <f>F6*37</f>
        <v>310837</v>
      </c>
      <c r="AB6" s="34">
        <f>G6*37</f>
        <v>165723</v>
      </c>
      <c r="AC6" s="38">
        <f>H6*37</f>
        <v>145114</v>
      </c>
      <c r="AD6" s="39">
        <v>72</v>
      </c>
      <c r="AE6" s="34">
        <f>J6*72</f>
        <v>661896</v>
      </c>
      <c r="AF6" s="34">
        <f>K6*72</f>
        <v>317304</v>
      </c>
      <c r="AG6" s="34">
        <f>L6*72</f>
        <v>344592</v>
      </c>
    </row>
    <row r="7" spans="1:33" s="40" customFormat="1" ht="15.75" customHeight="1">
      <c r="A7" s="33">
        <v>3</v>
      </c>
      <c r="B7" s="34">
        <v>4983</v>
      </c>
      <c r="C7" s="35">
        <v>2522</v>
      </c>
      <c r="D7" s="35">
        <v>2461</v>
      </c>
      <c r="E7" s="36">
        <v>38</v>
      </c>
      <c r="F7" s="34">
        <v>8746</v>
      </c>
      <c r="G7" s="35">
        <v>4557</v>
      </c>
      <c r="H7" s="35">
        <v>4189</v>
      </c>
      <c r="I7" s="36">
        <v>73</v>
      </c>
      <c r="J7" s="34">
        <v>9568</v>
      </c>
      <c r="K7" s="35">
        <v>4563</v>
      </c>
      <c r="L7" s="35">
        <v>5005</v>
      </c>
      <c r="M7" s="37"/>
      <c r="N7" s="37"/>
      <c r="O7" s="37"/>
      <c r="P7" s="37"/>
      <c r="Q7" s="37"/>
      <c r="R7" s="37"/>
      <c r="S7" s="37"/>
      <c r="T7" s="37"/>
      <c r="U7" s="37"/>
      <c r="V7" s="33">
        <v>3</v>
      </c>
      <c r="W7" s="34">
        <f>B7*3</f>
        <v>14949</v>
      </c>
      <c r="X7" s="34">
        <f>C7*3</f>
        <v>7566</v>
      </c>
      <c r="Y7" s="38">
        <f>D7*3</f>
        <v>7383</v>
      </c>
      <c r="Z7" s="39">
        <v>38</v>
      </c>
      <c r="AA7" s="34">
        <f>F7*38</f>
        <v>332348</v>
      </c>
      <c r="AB7" s="34">
        <f>G7*38</f>
        <v>173166</v>
      </c>
      <c r="AC7" s="38">
        <f>H7*38</f>
        <v>159182</v>
      </c>
      <c r="AD7" s="39">
        <v>73</v>
      </c>
      <c r="AE7" s="34">
        <f>J7*73</f>
        <v>698464</v>
      </c>
      <c r="AF7" s="34">
        <f>K7*73</f>
        <v>333099</v>
      </c>
      <c r="AG7" s="34">
        <f>L7*73</f>
        <v>365365</v>
      </c>
    </row>
    <row r="8" spans="1:33" s="40" customFormat="1" ht="18" customHeight="1" thickBot="1">
      <c r="A8" s="41">
        <v>4</v>
      </c>
      <c r="B8" s="42">
        <v>5247</v>
      </c>
      <c r="C8" s="43">
        <v>2689</v>
      </c>
      <c r="D8" s="43">
        <v>2558</v>
      </c>
      <c r="E8" s="44">
        <v>39</v>
      </c>
      <c r="F8" s="45">
        <v>8741</v>
      </c>
      <c r="G8" s="43">
        <v>4634</v>
      </c>
      <c r="H8" s="43">
        <v>4107</v>
      </c>
      <c r="I8" s="44">
        <v>74</v>
      </c>
      <c r="J8" s="45">
        <v>10152</v>
      </c>
      <c r="K8" s="43">
        <v>4821</v>
      </c>
      <c r="L8" s="43">
        <v>5331</v>
      </c>
      <c r="M8" s="37"/>
      <c r="N8" s="46" t="s">
        <v>10</v>
      </c>
      <c r="O8" s="47"/>
      <c r="P8" s="47"/>
      <c r="Q8" s="47"/>
      <c r="R8" s="47"/>
      <c r="S8" s="47"/>
      <c r="T8" s="47"/>
      <c r="U8" s="37"/>
      <c r="V8" s="41">
        <v>4</v>
      </c>
      <c r="W8" s="45">
        <f>B8*4</f>
        <v>20988</v>
      </c>
      <c r="X8" s="45">
        <f>C8*4</f>
        <v>10756</v>
      </c>
      <c r="Y8" s="48">
        <f>D8*4</f>
        <v>10232</v>
      </c>
      <c r="Z8" s="49">
        <v>39</v>
      </c>
      <c r="AA8" s="45">
        <f>F8*39</f>
        <v>340899</v>
      </c>
      <c r="AB8" s="45">
        <f>G8*39</f>
        <v>180726</v>
      </c>
      <c r="AC8" s="48">
        <f>H8*39</f>
        <v>160173</v>
      </c>
      <c r="AD8" s="49">
        <v>74</v>
      </c>
      <c r="AE8" s="45">
        <f>J8*74</f>
        <v>751248</v>
      </c>
      <c r="AF8" s="45">
        <f>K8*74</f>
        <v>356754</v>
      </c>
      <c r="AG8" s="45">
        <f>L8*74</f>
        <v>394494</v>
      </c>
    </row>
    <row r="9" spans="1:33" s="32" customFormat="1" ht="25.5" customHeight="1">
      <c r="A9" s="23" t="s">
        <v>11</v>
      </c>
      <c r="B9" s="24">
        <v>30061</v>
      </c>
      <c r="C9" s="24">
        <v>15481</v>
      </c>
      <c r="D9" s="24">
        <v>14580</v>
      </c>
      <c r="E9" s="25" t="s">
        <v>12</v>
      </c>
      <c r="F9" s="24">
        <v>48410</v>
      </c>
      <c r="G9" s="24">
        <v>24949</v>
      </c>
      <c r="H9" s="24">
        <v>23461</v>
      </c>
      <c r="I9" s="25" t="s">
        <v>13</v>
      </c>
      <c r="J9" s="24">
        <v>53047</v>
      </c>
      <c r="K9" s="24">
        <v>24928</v>
      </c>
      <c r="L9" s="24">
        <v>28119</v>
      </c>
      <c r="M9" s="26"/>
      <c r="N9" s="50" t="s">
        <v>14</v>
      </c>
      <c r="O9" s="51" t="s">
        <v>4</v>
      </c>
      <c r="P9" s="52"/>
      <c r="Q9" s="51" t="s">
        <v>5</v>
      </c>
      <c r="R9" s="52"/>
      <c r="S9" s="51" t="s">
        <v>6</v>
      </c>
      <c r="T9" s="53"/>
      <c r="U9" s="29"/>
      <c r="V9" s="23" t="s">
        <v>11</v>
      </c>
      <c r="W9" s="30">
        <f>SUM(W10:W14)</f>
        <v>213175</v>
      </c>
      <c r="X9" s="30">
        <f>SUM(X10:X14)</f>
        <v>109827</v>
      </c>
      <c r="Y9" s="31">
        <f>SUM(Y10:Y14)</f>
        <v>103348</v>
      </c>
      <c r="Z9" s="23" t="s">
        <v>12</v>
      </c>
      <c r="AA9" s="30">
        <f>SUM(AA10:AA14)</f>
        <v>2034316</v>
      </c>
      <c r="AB9" s="30">
        <f>SUM(AB10:AB14)</f>
        <v>1048322</v>
      </c>
      <c r="AC9" s="31">
        <f>SUM(AC10:AC14)</f>
        <v>985994</v>
      </c>
      <c r="AD9" s="23" t="s">
        <v>13</v>
      </c>
      <c r="AE9" s="30">
        <f>SUM(AE10:AE14)</f>
        <v>4080217</v>
      </c>
      <c r="AF9" s="30">
        <f>SUM(AF10:AF14)</f>
        <v>1916980</v>
      </c>
      <c r="AG9" s="30">
        <f>SUM(AG10:AG14)</f>
        <v>2163237</v>
      </c>
    </row>
    <row r="10" spans="1:33" s="40" customFormat="1" ht="15.75" customHeight="1">
      <c r="A10" s="33">
        <v>5</v>
      </c>
      <c r="B10" s="34">
        <v>5491</v>
      </c>
      <c r="C10" s="35">
        <v>2805</v>
      </c>
      <c r="D10" s="35">
        <v>2686</v>
      </c>
      <c r="E10" s="36">
        <v>40</v>
      </c>
      <c r="F10" s="34">
        <v>9354</v>
      </c>
      <c r="G10" s="35">
        <v>4922</v>
      </c>
      <c r="H10" s="35">
        <v>4432</v>
      </c>
      <c r="I10" s="36">
        <v>75</v>
      </c>
      <c r="J10" s="34">
        <v>10376</v>
      </c>
      <c r="K10" s="35">
        <v>4923</v>
      </c>
      <c r="L10" s="35">
        <v>5453</v>
      </c>
      <c r="M10" s="54"/>
      <c r="N10" s="55"/>
      <c r="O10" s="56" t="s">
        <v>36</v>
      </c>
      <c r="P10" s="55" t="s">
        <v>15</v>
      </c>
      <c r="Q10" s="56" t="s">
        <v>36</v>
      </c>
      <c r="R10" s="55" t="s">
        <v>15</v>
      </c>
      <c r="S10" s="56" t="s">
        <v>36</v>
      </c>
      <c r="T10" s="57" t="s">
        <v>15</v>
      </c>
      <c r="U10" s="37"/>
      <c r="V10" s="33">
        <v>5</v>
      </c>
      <c r="W10" s="34">
        <f>B10*5</f>
        <v>27455</v>
      </c>
      <c r="X10" s="34">
        <f>C10*5</f>
        <v>14025</v>
      </c>
      <c r="Y10" s="38">
        <f>D10*5</f>
        <v>13430</v>
      </c>
      <c r="Z10" s="39">
        <v>40</v>
      </c>
      <c r="AA10" s="34">
        <f>F10*40</f>
        <v>374160</v>
      </c>
      <c r="AB10" s="34">
        <f>G10*40</f>
        <v>196880</v>
      </c>
      <c r="AC10" s="38">
        <f>H10*40</f>
        <v>177280</v>
      </c>
      <c r="AD10" s="39">
        <v>75</v>
      </c>
      <c r="AE10" s="34">
        <f>J10*75</f>
        <v>778200</v>
      </c>
      <c r="AF10" s="34">
        <f>K10*75</f>
        <v>369225</v>
      </c>
      <c r="AG10" s="34">
        <f>L10*75</f>
        <v>408975</v>
      </c>
    </row>
    <row r="11" spans="1:33" s="40" customFormat="1" ht="15.75" customHeight="1">
      <c r="A11" s="33">
        <v>6</v>
      </c>
      <c r="B11" s="34">
        <v>5646</v>
      </c>
      <c r="C11" s="35">
        <v>2914</v>
      </c>
      <c r="D11" s="35">
        <v>2732</v>
      </c>
      <c r="E11" s="36">
        <v>41</v>
      </c>
      <c r="F11" s="34">
        <v>9651</v>
      </c>
      <c r="G11" s="35">
        <v>4939</v>
      </c>
      <c r="H11" s="35">
        <v>4712</v>
      </c>
      <c r="I11" s="36">
        <v>76</v>
      </c>
      <c r="J11" s="34">
        <v>11483</v>
      </c>
      <c r="K11" s="35">
        <v>5482</v>
      </c>
      <c r="L11" s="35">
        <v>6001</v>
      </c>
      <c r="M11" s="54"/>
      <c r="N11" s="55" t="s">
        <v>16</v>
      </c>
      <c r="O11" s="58">
        <v>45731</v>
      </c>
      <c r="P11" s="59">
        <v>11.824923590891931</v>
      </c>
      <c r="Q11" s="58">
        <v>43083</v>
      </c>
      <c r="R11" s="59">
        <v>11.083213496500079</v>
      </c>
      <c r="S11" s="58">
        <v>88814</v>
      </c>
      <c r="T11" s="60">
        <v>11.453117323075295</v>
      </c>
      <c r="U11" s="37"/>
      <c r="V11" s="33">
        <v>6</v>
      </c>
      <c r="W11" s="34">
        <f>B11*6</f>
        <v>33876</v>
      </c>
      <c r="X11" s="34">
        <f>C11*6</f>
        <v>17484</v>
      </c>
      <c r="Y11" s="38">
        <f>D11*6</f>
        <v>16392</v>
      </c>
      <c r="Z11" s="39">
        <v>41</v>
      </c>
      <c r="AA11" s="34">
        <f>F11*41</f>
        <v>395691</v>
      </c>
      <c r="AB11" s="34">
        <f>G11*41</f>
        <v>202499</v>
      </c>
      <c r="AC11" s="38">
        <f>H11*41</f>
        <v>193192</v>
      </c>
      <c r="AD11" s="39">
        <v>76</v>
      </c>
      <c r="AE11" s="34">
        <f>J11*76</f>
        <v>872708</v>
      </c>
      <c r="AF11" s="34">
        <f>K11*76</f>
        <v>416632</v>
      </c>
      <c r="AG11" s="34">
        <f>L11*76</f>
        <v>456076</v>
      </c>
    </row>
    <row r="12" spans="1:33" s="40" customFormat="1" ht="15.75" customHeight="1">
      <c r="A12" s="33">
        <v>7</v>
      </c>
      <c r="B12" s="34">
        <v>6122</v>
      </c>
      <c r="C12" s="35">
        <v>3160</v>
      </c>
      <c r="D12" s="35">
        <v>2962</v>
      </c>
      <c r="E12" s="36">
        <v>42</v>
      </c>
      <c r="F12" s="34">
        <v>9817</v>
      </c>
      <c r="G12" s="35">
        <v>4976</v>
      </c>
      <c r="H12" s="35">
        <v>4841</v>
      </c>
      <c r="I12" s="36">
        <v>77</v>
      </c>
      <c r="J12" s="34">
        <v>11534</v>
      </c>
      <c r="K12" s="35">
        <v>5430</v>
      </c>
      <c r="L12" s="35">
        <v>6104</v>
      </c>
      <c r="M12" s="54"/>
      <c r="N12" s="55" t="s">
        <v>17</v>
      </c>
      <c r="O12" s="58">
        <v>239018</v>
      </c>
      <c r="P12" s="59">
        <v>61.80423753794598</v>
      </c>
      <c r="Q12" s="58">
        <v>221041</v>
      </c>
      <c r="R12" s="59">
        <v>56.863370574933825</v>
      </c>
      <c r="S12" s="58">
        <v>460059</v>
      </c>
      <c r="T12" s="60">
        <v>59.327467544944469</v>
      </c>
      <c r="U12" s="37"/>
      <c r="V12" s="33">
        <v>7</v>
      </c>
      <c r="W12" s="34">
        <f>B12*7</f>
        <v>42854</v>
      </c>
      <c r="X12" s="34">
        <f>C12*7</f>
        <v>22120</v>
      </c>
      <c r="Y12" s="38">
        <f>D12*7</f>
        <v>20734</v>
      </c>
      <c r="Z12" s="39">
        <v>42</v>
      </c>
      <c r="AA12" s="34">
        <f>F12*42</f>
        <v>412314</v>
      </c>
      <c r="AB12" s="34">
        <f>G12*42</f>
        <v>208992</v>
      </c>
      <c r="AC12" s="38">
        <f>H12*42</f>
        <v>203322</v>
      </c>
      <c r="AD12" s="39">
        <v>77</v>
      </c>
      <c r="AE12" s="34">
        <f>J12*77</f>
        <v>888118</v>
      </c>
      <c r="AF12" s="34">
        <f>K12*77</f>
        <v>418110</v>
      </c>
      <c r="AG12" s="34">
        <f>L12*77</f>
        <v>470008</v>
      </c>
    </row>
    <row r="13" spans="1:33" s="40" customFormat="1" ht="15.75" customHeight="1">
      <c r="A13" s="33">
        <v>8</v>
      </c>
      <c r="B13" s="34">
        <v>6228</v>
      </c>
      <c r="C13" s="35">
        <v>3220</v>
      </c>
      <c r="D13" s="35">
        <v>3008</v>
      </c>
      <c r="E13" s="36">
        <v>43</v>
      </c>
      <c r="F13" s="34">
        <v>9721</v>
      </c>
      <c r="G13" s="35">
        <v>4977</v>
      </c>
      <c r="H13" s="35">
        <v>4744</v>
      </c>
      <c r="I13" s="36">
        <v>78</v>
      </c>
      <c r="J13" s="34">
        <v>11475</v>
      </c>
      <c r="K13" s="35">
        <v>5334</v>
      </c>
      <c r="L13" s="35">
        <v>6141</v>
      </c>
      <c r="M13" s="54"/>
      <c r="N13" s="55" t="s">
        <v>18</v>
      </c>
      <c r="O13" s="58">
        <v>101985</v>
      </c>
      <c r="P13" s="59">
        <v>26.370838871162089</v>
      </c>
      <c r="Q13" s="58">
        <v>124599</v>
      </c>
      <c r="R13" s="59">
        <v>32.053415928566096</v>
      </c>
      <c r="S13" s="58">
        <v>226584</v>
      </c>
      <c r="T13" s="60">
        <v>29.219415131980238</v>
      </c>
      <c r="U13" s="37"/>
      <c r="V13" s="33">
        <v>8</v>
      </c>
      <c r="W13" s="34">
        <f>B13*8</f>
        <v>49824</v>
      </c>
      <c r="X13" s="34">
        <f>C13*8</f>
        <v>25760</v>
      </c>
      <c r="Y13" s="38">
        <f>D13*8</f>
        <v>24064</v>
      </c>
      <c r="Z13" s="39">
        <v>43</v>
      </c>
      <c r="AA13" s="34">
        <f>F13*43</f>
        <v>418003</v>
      </c>
      <c r="AB13" s="34">
        <f>G13*43</f>
        <v>214011</v>
      </c>
      <c r="AC13" s="38">
        <f>H13*43</f>
        <v>203992</v>
      </c>
      <c r="AD13" s="39">
        <v>78</v>
      </c>
      <c r="AE13" s="34">
        <f>J13*78</f>
        <v>895050</v>
      </c>
      <c r="AF13" s="34">
        <f>K13*78</f>
        <v>416052</v>
      </c>
      <c r="AG13" s="34">
        <f>L13*78</f>
        <v>478998</v>
      </c>
    </row>
    <row r="14" spans="1:33" s="40" customFormat="1" ht="18" customHeight="1" thickBot="1">
      <c r="A14" s="41">
        <v>9</v>
      </c>
      <c r="B14" s="45">
        <v>6574</v>
      </c>
      <c r="C14" s="43">
        <v>3382</v>
      </c>
      <c r="D14" s="43">
        <v>3192</v>
      </c>
      <c r="E14" s="44">
        <v>44</v>
      </c>
      <c r="F14" s="45">
        <v>9867</v>
      </c>
      <c r="G14" s="43">
        <v>5135</v>
      </c>
      <c r="H14" s="43">
        <v>4732</v>
      </c>
      <c r="I14" s="44">
        <v>79</v>
      </c>
      <c r="J14" s="45">
        <v>8179</v>
      </c>
      <c r="K14" s="43">
        <v>3759</v>
      </c>
      <c r="L14" s="43">
        <v>4420</v>
      </c>
      <c r="M14" s="54"/>
      <c r="N14" s="61" t="s">
        <v>19</v>
      </c>
      <c r="O14" s="62">
        <v>386734</v>
      </c>
      <c r="P14" s="63">
        <v>100</v>
      </c>
      <c r="Q14" s="62">
        <v>388723</v>
      </c>
      <c r="R14" s="63">
        <v>100</v>
      </c>
      <c r="S14" s="62">
        <v>775457</v>
      </c>
      <c r="T14" s="64">
        <v>100</v>
      </c>
      <c r="U14" s="37"/>
      <c r="V14" s="41">
        <v>9</v>
      </c>
      <c r="W14" s="45">
        <f>B14*9</f>
        <v>59166</v>
      </c>
      <c r="X14" s="45">
        <f>C14*9</f>
        <v>30438</v>
      </c>
      <c r="Y14" s="48">
        <f>D14*9</f>
        <v>28728</v>
      </c>
      <c r="Z14" s="49">
        <v>44</v>
      </c>
      <c r="AA14" s="45">
        <f>F14*44</f>
        <v>434148</v>
      </c>
      <c r="AB14" s="45">
        <f>G14*44</f>
        <v>225940</v>
      </c>
      <c r="AC14" s="48">
        <f>H14*44</f>
        <v>208208</v>
      </c>
      <c r="AD14" s="49">
        <v>79</v>
      </c>
      <c r="AE14" s="45">
        <f>J14*79</f>
        <v>646141</v>
      </c>
      <c r="AF14" s="45">
        <f>K14*79</f>
        <v>296961</v>
      </c>
      <c r="AG14" s="45">
        <f>L14*79</f>
        <v>349180</v>
      </c>
    </row>
    <row r="15" spans="1:33" s="32" customFormat="1" ht="25.5" customHeight="1">
      <c r="A15" s="23" t="s">
        <v>20</v>
      </c>
      <c r="B15" s="24">
        <v>35063</v>
      </c>
      <c r="C15" s="24">
        <v>18158</v>
      </c>
      <c r="D15" s="24">
        <v>16905</v>
      </c>
      <c r="E15" s="25" t="s">
        <v>21</v>
      </c>
      <c r="F15" s="24">
        <v>52398</v>
      </c>
      <c r="G15" s="24">
        <v>26851</v>
      </c>
      <c r="H15" s="24">
        <v>25547</v>
      </c>
      <c r="I15" s="25" t="s">
        <v>22</v>
      </c>
      <c r="J15" s="24">
        <v>35791</v>
      </c>
      <c r="K15" s="24">
        <v>15441</v>
      </c>
      <c r="L15" s="24">
        <v>20350</v>
      </c>
      <c r="M15" s="29"/>
      <c r="N15" s="65" t="s">
        <v>40</v>
      </c>
      <c r="O15" s="29"/>
      <c r="P15" s="29"/>
      <c r="Q15" s="29"/>
      <c r="R15" s="29"/>
      <c r="S15" s="29"/>
      <c r="T15" s="29"/>
      <c r="U15" s="29"/>
      <c r="V15" s="23" t="s">
        <v>20</v>
      </c>
      <c r="W15" s="30">
        <f>SUM(W16:W20)</f>
        <v>421906</v>
      </c>
      <c r="X15" s="30">
        <f>SUM(X16:X20)</f>
        <v>218278</v>
      </c>
      <c r="Y15" s="31">
        <f>SUM(Y16:Y20)</f>
        <v>203628</v>
      </c>
      <c r="Z15" s="23" t="s">
        <v>21</v>
      </c>
      <c r="AA15" s="30">
        <f>SUM(AA16:AA20)</f>
        <v>2465429</v>
      </c>
      <c r="AB15" s="30">
        <f>SUM(AB16:AB20)</f>
        <v>1263186</v>
      </c>
      <c r="AC15" s="31">
        <f>SUM(AC16:AC20)</f>
        <v>1202243</v>
      </c>
      <c r="AD15" s="23" t="s">
        <v>22</v>
      </c>
      <c r="AE15" s="30">
        <f>SUM(AE16:AE20)</f>
        <v>2936173</v>
      </c>
      <c r="AF15" s="30">
        <f>SUM(AF16:AF20)</f>
        <v>1266354</v>
      </c>
      <c r="AG15" s="30">
        <f>SUM(AG16:AG20)</f>
        <v>1669819</v>
      </c>
    </row>
    <row r="16" spans="1:33" s="40" customFormat="1" ht="15.75" customHeight="1">
      <c r="A16" s="33">
        <v>10</v>
      </c>
      <c r="B16" s="34">
        <v>6878</v>
      </c>
      <c r="C16" s="35">
        <v>3567</v>
      </c>
      <c r="D16" s="35">
        <v>3311</v>
      </c>
      <c r="E16" s="36">
        <v>45</v>
      </c>
      <c r="F16" s="34">
        <v>9778</v>
      </c>
      <c r="G16" s="35">
        <v>5026</v>
      </c>
      <c r="H16" s="35">
        <v>4752</v>
      </c>
      <c r="I16" s="36">
        <v>80</v>
      </c>
      <c r="J16" s="34">
        <v>6152</v>
      </c>
      <c r="K16" s="35">
        <v>2717</v>
      </c>
      <c r="L16" s="35">
        <v>3435</v>
      </c>
      <c r="M16" s="37"/>
      <c r="N16" s="37"/>
      <c r="O16" s="37"/>
      <c r="P16" s="37"/>
      <c r="Q16" s="37"/>
      <c r="R16" s="37"/>
      <c r="S16" s="37"/>
      <c r="T16" s="37"/>
      <c r="U16" s="37"/>
      <c r="V16" s="33">
        <v>10</v>
      </c>
      <c r="W16" s="34">
        <f>B16*10</f>
        <v>68780</v>
      </c>
      <c r="X16" s="34">
        <f>C16*10</f>
        <v>35670</v>
      </c>
      <c r="Y16" s="38">
        <f>D16*10</f>
        <v>33110</v>
      </c>
      <c r="Z16" s="39">
        <v>45</v>
      </c>
      <c r="AA16" s="34">
        <f>F16*45</f>
        <v>440010</v>
      </c>
      <c r="AB16" s="34">
        <f>G16*45</f>
        <v>226170</v>
      </c>
      <c r="AC16" s="38">
        <f>H16*45</f>
        <v>213840</v>
      </c>
      <c r="AD16" s="39">
        <v>80</v>
      </c>
      <c r="AE16" s="34">
        <f>J16*80</f>
        <v>492160</v>
      </c>
      <c r="AF16" s="34">
        <f>K16*80</f>
        <v>217360</v>
      </c>
      <c r="AG16" s="34">
        <f>L16*80</f>
        <v>274800</v>
      </c>
    </row>
    <row r="17" spans="1:33" s="40" customFormat="1" ht="15.75" customHeight="1">
      <c r="A17" s="33">
        <v>11</v>
      </c>
      <c r="B17" s="34">
        <v>6750</v>
      </c>
      <c r="C17" s="35">
        <v>3550</v>
      </c>
      <c r="D17" s="35">
        <v>3200</v>
      </c>
      <c r="E17" s="36">
        <v>46</v>
      </c>
      <c r="F17" s="34">
        <v>10380</v>
      </c>
      <c r="G17" s="35">
        <v>5347</v>
      </c>
      <c r="H17" s="35">
        <v>5033</v>
      </c>
      <c r="I17" s="36">
        <v>81</v>
      </c>
      <c r="J17" s="34">
        <v>7725</v>
      </c>
      <c r="K17" s="35">
        <v>3338</v>
      </c>
      <c r="L17" s="35">
        <v>4387</v>
      </c>
      <c r="M17" s="37"/>
      <c r="N17" s="37"/>
      <c r="O17" s="37"/>
      <c r="P17" s="37"/>
      <c r="Q17" s="37"/>
      <c r="R17" s="37"/>
      <c r="S17" s="37"/>
      <c r="T17" s="37"/>
      <c r="U17" s="37"/>
      <c r="V17" s="33">
        <v>11</v>
      </c>
      <c r="W17" s="34">
        <f>B17*11</f>
        <v>74250</v>
      </c>
      <c r="X17" s="34">
        <f>C17*11</f>
        <v>39050</v>
      </c>
      <c r="Y17" s="38">
        <f>D17*11</f>
        <v>35200</v>
      </c>
      <c r="Z17" s="39">
        <v>46</v>
      </c>
      <c r="AA17" s="34">
        <f>F17*46</f>
        <v>477480</v>
      </c>
      <c r="AB17" s="34">
        <f>G17*46</f>
        <v>245962</v>
      </c>
      <c r="AC17" s="38">
        <f>H17*46</f>
        <v>231518</v>
      </c>
      <c r="AD17" s="39">
        <v>81</v>
      </c>
      <c r="AE17" s="34">
        <f>J17*81</f>
        <v>625725</v>
      </c>
      <c r="AF17" s="34">
        <f>K17*81</f>
        <v>270378</v>
      </c>
      <c r="AG17" s="34">
        <f>L17*81</f>
        <v>355347</v>
      </c>
    </row>
    <row r="18" spans="1:33" s="40" customFormat="1" ht="15.75" customHeight="1">
      <c r="A18" s="33">
        <v>12</v>
      </c>
      <c r="B18" s="34">
        <v>7040</v>
      </c>
      <c r="C18" s="35">
        <v>3669</v>
      </c>
      <c r="D18" s="35">
        <v>3371</v>
      </c>
      <c r="E18" s="36">
        <v>47</v>
      </c>
      <c r="F18" s="34">
        <v>10550</v>
      </c>
      <c r="G18" s="35">
        <v>5417</v>
      </c>
      <c r="H18" s="35">
        <v>5133</v>
      </c>
      <c r="I18" s="36">
        <v>82</v>
      </c>
      <c r="J18" s="34">
        <v>7670</v>
      </c>
      <c r="K18" s="35">
        <v>3368</v>
      </c>
      <c r="L18" s="35">
        <v>4302</v>
      </c>
      <c r="M18" s="37"/>
      <c r="N18" s="37"/>
      <c r="O18" s="37"/>
      <c r="P18" s="37"/>
      <c r="Q18" s="37"/>
      <c r="R18" s="37"/>
      <c r="S18" s="37"/>
      <c r="T18" s="37"/>
      <c r="U18" s="37"/>
      <c r="V18" s="33">
        <v>12</v>
      </c>
      <c r="W18" s="34">
        <f>B18*12</f>
        <v>84480</v>
      </c>
      <c r="X18" s="34">
        <f>C18*12</f>
        <v>44028</v>
      </c>
      <c r="Y18" s="38">
        <f>D18*12</f>
        <v>40452</v>
      </c>
      <c r="Z18" s="39">
        <v>47</v>
      </c>
      <c r="AA18" s="34">
        <f>F18*47</f>
        <v>495850</v>
      </c>
      <c r="AB18" s="34">
        <f>G18*47</f>
        <v>254599</v>
      </c>
      <c r="AC18" s="38">
        <f>H18*47</f>
        <v>241251</v>
      </c>
      <c r="AD18" s="39">
        <v>82</v>
      </c>
      <c r="AE18" s="34">
        <f>J18*82</f>
        <v>628940</v>
      </c>
      <c r="AF18" s="34">
        <f>K18*82</f>
        <v>276176</v>
      </c>
      <c r="AG18" s="34">
        <f>L18*82</f>
        <v>352764</v>
      </c>
    </row>
    <row r="19" spans="1:33" s="40" customFormat="1" ht="15.75" customHeight="1">
      <c r="A19" s="33">
        <v>13</v>
      </c>
      <c r="B19" s="34">
        <v>7134</v>
      </c>
      <c r="C19" s="35">
        <v>3678</v>
      </c>
      <c r="D19" s="35">
        <v>3456</v>
      </c>
      <c r="E19" s="36">
        <v>48</v>
      </c>
      <c r="F19" s="34">
        <v>10721</v>
      </c>
      <c r="G19" s="35">
        <v>5534</v>
      </c>
      <c r="H19" s="35">
        <v>5187</v>
      </c>
      <c r="I19" s="36">
        <v>83</v>
      </c>
      <c r="J19" s="34">
        <v>7148</v>
      </c>
      <c r="K19" s="35">
        <v>3072</v>
      </c>
      <c r="L19" s="35">
        <v>4076</v>
      </c>
      <c r="M19" s="37"/>
      <c r="N19" s="37"/>
      <c r="O19" s="37"/>
      <c r="P19" s="37"/>
      <c r="Q19" s="37"/>
      <c r="R19" s="37"/>
      <c r="S19" s="37"/>
      <c r="T19" s="37"/>
      <c r="U19" s="37"/>
      <c r="V19" s="33">
        <v>13</v>
      </c>
      <c r="W19" s="34">
        <f>B19*13</f>
        <v>92742</v>
      </c>
      <c r="X19" s="34">
        <f>C19*13</f>
        <v>47814</v>
      </c>
      <c r="Y19" s="38">
        <f>D19*13</f>
        <v>44928</v>
      </c>
      <c r="Z19" s="39">
        <v>48</v>
      </c>
      <c r="AA19" s="34">
        <f>F19*48</f>
        <v>514608</v>
      </c>
      <c r="AB19" s="34">
        <f>G19*48</f>
        <v>265632</v>
      </c>
      <c r="AC19" s="38">
        <f>H19*48</f>
        <v>248976</v>
      </c>
      <c r="AD19" s="39">
        <v>83</v>
      </c>
      <c r="AE19" s="34">
        <f>J19*83</f>
        <v>593284</v>
      </c>
      <c r="AF19" s="34">
        <f>K19*83</f>
        <v>254976</v>
      </c>
      <c r="AG19" s="34">
        <f>L19*83</f>
        <v>338308</v>
      </c>
    </row>
    <row r="20" spans="1:33" s="40" customFormat="1" ht="18" customHeight="1">
      <c r="A20" s="41">
        <v>14</v>
      </c>
      <c r="B20" s="45">
        <v>7261</v>
      </c>
      <c r="C20" s="43">
        <v>3694</v>
      </c>
      <c r="D20" s="43">
        <v>3567</v>
      </c>
      <c r="E20" s="44">
        <v>49</v>
      </c>
      <c r="F20" s="45">
        <v>10969</v>
      </c>
      <c r="G20" s="43">
        <v>5527</v>
      </c>
      <c r="H20" s="43">
        <v>5442</v>
      </c>
      <c r="I20" s="44">
        <v>84</v>
      </c>
      <c r="J20" s="45">
        <v>7096</v>
      </c>
      <c r="K20" s="43">
        <v>2946</v>
      </c>
      <c r="L20" s="43">
        <v>4150</v>
      </c>
      <c r="M20" s="37"/>
      <c r="N20" s="37"/>
      <c r="O20" s="37"/>
      <c r="P20" s="37"/>
      <c r="Q20" s="37"/>
      <c r="R20" s="37"/>
      <c r="S20" s="37"/>
      <c r="T20" s="37"/>
      <c r="U20" s="37"/>
      <c r="V20" s="41">
        <v>14</v>
      </c>
      <c r="W20" s="45">
        <f>B20*14</f>
        <v>101654</v>
      </c>
      <c r="X20" s="45">
        <f>C20*14</f>
        <v>51716</v>
      </c>
      <c r="Y20" s="48">
        <f>D20*14</f>
        <v>49938</v>
      </c>
      <c r="Z20" s="49">
        <v>49</v>
      </c>
      <c r="AA20" s="45">
        <f>F20*49</f>
        <v>537481</v>
      </c>
      <c r="AB20" s="45">
        <f>G20*49</f>
        <v>270823</v>
      </c>
      <c r="AC20" s="48">
        <f>H20*49</f>
        <v>266658</v>
      </c>
      <c r="AD20" s="49">
        <v>84</v>
      </c>
      <c r="AE20" s="45">
        <f>J20*84</f>
        <v>596064</v>
      </c>
      <c r="AF20" s="45">
        <f>K20*84</f>
        <v>247464</v>
      </c>
      <c r="AG20" s="45">
        <f>L20*84</f>
        <v>348600</v>
      </c>
    </row>
    <row r="21" spans="1:33" s="32" customFormat="1" ht="25.5" customHeight="1">
      <c r="A21" s="23" t="s">
        <v>23</v>
      </c>
      <c r="B21" s="24">
        <v>36745</v>
      </c>
      <c r="C21" s="24">
        <v>18802</v>
      </c>
      <c r="D21" s="24">
        <v>17943</v>
      </c>
      <c r="E21" s="25" t="s">
        <v>24</v>
      </c>
      <c r="F21" s="24">
        <v>61358</v>
      </c>
      <c r="G21" s="24">
        <v>31456</v>
      </c>
      <c r="H21" s="24">
        <v>29902</v>
      </c>
      <c r="I21" s="25" t="s">
        <v>25</v>
      </c>
      <c r="J21" s="24">
        <v>25170</v>
      </c>
      <c r="K21" s="24">
        <v>9882</v>
      </c>
      <c r="L21" s="24">
        <v>15288</v>
      </c>
      <c r="M21" s="29"/>
      <c r="N21" s="29"/>
      <c r="O21" s="29"/>
      <c r="P21" s="29"/>
      <c r="Q21" s="29"/>
      <c r="R21" s="29"/>
      <c r="S21" s="29"/>
      <c r="T21" s="29"/>
      <c r="U21" s="29"/>
      <c r="V21" s="23" t="s">
        <v>23</v>
      </c>
      <c r="W21" s="30">
        <f>SUM(W22:W26)</f>
        <v>624720</v>
      </c>
      <c r="X21" s="30">
        <f>SUM(X22:X26)</f>
        <v>319494</v>
      </c>
      <c r="Y21" s="31">
        <f>SUM(Y22:Y26)</f>
        <v>305226</v>
      </c>
      <c r="Z21" s="23" t="s">
        <v>24</v>
      </c>
      <c r="AA21" s="30">
        <f>SUM(AA22:AA26)</f>
        <v>3192848</v>
      </c>
      <c r="AB21" s="30">
        <f>SUM(AB22:AB26)</f>
        <v>1636667</v>
      </c>
      <c r="AC21" s="31">
        <f>SUM(AC22:AC26)</f>
        <v>1556181</v>
      </c>
      <c r="AD21" s="23" t="s">
        <v>25</v>
      </c>
      <c r="AE21" s="30">
        <f>SUM(AE22:AE26)</f>
        <v>2184809</v>
      </c>
      <c r="AF21" s="30">
        <f>SUM(AF22:AF26)</f>
        <v>857205</v>
      </c>
      <c r="AG21" s="30">
        <f>SUM(AG22:AG26)</f>
        <v>1327604</v>
      </c>
    </row>
    <row r="22" spans="1:33" s="40" customFormat="1" ht="15.75" customHeight="1">
      <c r="A22" s="33">
        <v>15</v>
      </c>
      <c r="B22" s="34">
        <v>7322</v>
      </c>
      <c r="C22" s="35">
        <v>3764</v>
      </c>
      <c r="D22" s="35">
        <v>3558</v>
      </c>
      <c r="E22" s="36">
        <v>50</v>
      </c>
      <c r="F22" s="34">
        <v>11446</v>
      </c>
      <c r="G22" s="35">
        <v>5874</v>
      </c>
      <c r="H22" s="35">
        <v>5572</v>
      </c>
      <c r="I22" s="36">
        <v>85</v>
      </c>
      <c r="J22" s="34">
        <v>6445</v>
      </c>
      <c r="K22" s="35">
        <v>2620</v>
      </c>
      <c r="L22" s="35">
        <v>3825</v>
      </c>
      <c r="M22" s="37"/>
      <c r="N22" s="37"/>
      <c r="O22" s="37"/>
      <c r="P22" s="37"/>
      <c r="Q22" s="37"/>
      <c r="R22" s="37"/>
      <c r="S22" s="37"/>
      <c r="T22" s="37"/>
      <c r="U22" s="37"/>
      <c r="V22" s="33">
        <v>15</v>
      </c>
      <c r="W22" s="34">
        <f>B22*15</f>
        <v>109830</v>
      </c>
      <c r="X22" s="34">
        <f>C22*15</f>
        <v>56460</v>
      </c>
      <c r="Y22" s="38">
        <f>D22*15</f>
        <v>53370</v>
      </c>
      <c r="Z22" s="39">
        <v>50</v>
      </c>
      <c r="AA22" s="34">
        <f>F22*50</f>
        <v>572300</v>
      </c>
      <c r="AB22" s="34">
        <f>G22*50</f>
        <v>293700</v>
      </c>
      <c r="AC22" s="38">
        <f>H22*50</f>
        <v>278600</v>
      </c>
      <c r="AD22" s="39">
        <v>85</v>
      </c>
      <c r="AE22" s="34">
        <f>J22*85</f>
        <v>547825</v>
      </c>
      <c r="AF22" s="34">
        <f>K22*85</f>
        <v>222700</v>
      </c>
      <c r="AG22" s="34">
        <f>L22*85</f>
        <v>325125</v>
      </c>
    </row>
    <row r="23" spans="1:33" s="40" customFormat="1" ht="15.75" customHeight="1">
      <c r="A23" s="33">
        <v>16</v>
      </c>
      <c r="B23" s="34">
        <v>7237</v>
      </c>
      <c r="C23" s="35">
        <v>3737</v>
      </c>
      <c r="D23" s="35">
        <v>3500</v>
      </c>
      <c r="E23" s="36">
        <v>51</v>
      </c>
      <c r="F23" s="34">
        <v>12302</v>
      </c>
      <c r="G23" s="35">
        <v>6345</v>
      </c>
      <c r="H23" s="35">
        <v>5957</v>
      </c>
      <c r="I23" s="36">
        <v>86</v>
      </c>
      <c r="J23" s="34">
        <v>5264</v>
      </c>
      <c r="K23" s="35">
        <v>2138</v>
      </c>
      <c r="L23" s="35">
        <v>3126</v>
      </c>
      <c r="M23" s="37"/>
      <c r="N23" s="37"/>
      <c r="O23" s="37"/>
      <c r="P23" s="37"/>
      <c r="Q23" s="37"/>
      <c r="R23" s="37"/>
      <c r="S23" s="37"/>
      <c r="T23" s="37"/>
      <c r="U23" s="37"/>
      <c r="V23" s="33">
        <v>16</v>
      </c>
      <c r="W23" s="34">
        <f>B23*16</f>
        <v>115792</v>
      </c>
      <c r="X23" s="34">
        <f>C23*16</f>
        <v>59792</v>
      </c>
      <c r="Y23" s="38">
        <f>D23*16</f>
        <v>56000</v>
      </c>
      <c r="Z23" s="39">
        <v>51</v>
      </c>
      <c r="AA23" s="34">
        <f>F23*51</f>
        <v>627402</v>
      </c>
      <c r="AB23" s="34">
        <f>G23*51</f>
        <v>323595</v>
      </c>
      <c r="AC23" s="38">
        <f>H23*51</f>
        <v>303807</v>
      </c>
      <c r="AD23" s="39">
        <v>86</v>
      </c>
      <c r="AE23" s="34">
        <f>J23*86</f>
        <v>452704</v>
      </c>
      <c r="AF23" s="34">
        <f>K23*86</f>
        <v>183868</v>
      </c>
      <c r="AG23" s="34">
        <f>L23*86</f>
        <v>268836</v>
      </c>
    </row>
    <row r="24" spans="1:33" s="40" customFormat="1" ht="15.75" customHeight="1">
      <c r="A24" s="33">
        <v>17</v>
      </c>
      <c r="B24" s="34">
        <v>7547</v>
      </c>
      <c r="C24" s="35">
        <v>3864</v>
      </c>
      <c r="D24" s="35">
        <v>3683</v>
      </c>
      <c r="E24" s="36">
        <v>52</v>
      </c>
      <c r="F24" s="34">
        <v>12589</v>
      </c>
      <c r="G24" s="35">
        <v>6473</v>
      </c>
      <c r="H24" s="35">
        <v>6116</v>
      </c>
      <c r="I24" s="36">
        <v>87</v>
      </c>
      <c r="J24" s="34">
        <v>4546</v>
      </c>
      <c r="K24" s="35">
        <v>1832</v>
      </c>
      <c r="L24" s="35">
        <v>2714</v>
      </c>
      <c r="M24" s="37"/>
      <c r="N24" s="37"/>
      <c r="O24" s="37"/>
      <c r="P24" s="37"/>
      <c r="Q24" s="37"/>
      <c r="R24" s="37"/>
      <c r="S24" s="37"/>
      <c r="T24" s="37"/>
      <c r="U24" s="37"/>
      <c r="V24" s="33">
        <v>17</v>
      </c>
      <c r="W24" s="34">
        <f>B24*17</f>
        <v>128299</v>
      </c>
      <c r="X24" s="34">
        <f>C24*17</f>
        <v>65688</v>
      </c>
      <c r="Y24" s="38">
        <f>D24*17</f>
        <v>62611</v>
      </c>
      <c r="Z24" s="39">
        <v>52</v>
      </c>
      <c r="AA24" s="34">
        <f>F24*52</f>
        <v>654628</v>
      </c>
      <c r="AB24" s="34">
        <f>G24*52</f>
        <v>336596</v>
      </c>
      <c r="AC24" s="38">
        <f>H24*52</f>
        <v>318032</v>
      </c>
      <c r="AD24" s="39">
        <v>87</v>
      </c>
      <c r="AE24" s="34">
        <f>J24*87</f>
        <v>395502</v>
      </c>
      <c r="AF24" s="34">
        <f>K24*87</f>
        <v>159384</v>
      </c>
      <c r="AG24" s="34">
        <f>L24*87</f>
        <v>236118</v>
      </c>
    </row>
    <row r="25" spans="1:33" s="40" customFormat="1" ht="15.75" customHeight="1">
      <c r="A25" s="33">
        <v>18</v>
      </c>
      <c r="B25" s="34">
        <v>7342</v>
      </c>
      <c r="C25" s="35">
        <v>3749</v>
      </c>
      <c r="D25" s="35">
        <v>3593</v>
      </c>
      <c r="E25" s="36">
        <v>53</v>
      </c>
      <c r="F25" s="34">
        <v>12616</v>
      </c>
      <c r="G25" s="35">
        <v>6480</v>
      </c>
      <c r="H25" s="35">
        <v>6136</v>
      </c>
      <c r="I25" s="36">
        <v>88</v>
      </c>
      <c r="J25" s="34">
        <v>4657</v>
      </c>
      <c r="K25" s="35">
        <v>1735</v>
      </c>
      <c r="L25" s="35">
        <v>2922</v>
      </c>
      <c r="M25" s="37"/>
      <c r="N25" s="37"/>
      <c r="O25" s="37"/>
      <c r="P25" s="37"/>
      <c r="Q25" s="37"/>
      <c r="R25" s="37"/>
      <c r="S25" s="37"/>
      <c r="T25" s="37"/>
      <c r="U25" s="37"/>
      <c r="V25" s="33">
        <v>18</v>
      </c>
      <c r="W25" s="34">
        <f>B25*18</f>
        <v>132156</v>
      </c>
      <c r="X25" s="34">
        <f>C25*18</f>
        <v>67482</v>
      </c>
      <c r="Y25" s="38">
        <f>D25*18</f>
        <v>64674</v>
      </c>
      <c r="Z25" s="39">
        <v>53</v>
      </c>
      <c r="AA25" s="34">
        <f>F25*53</f>
        <v>668648</v>
      </c>
      <c r="AB25" s="34">
        <f>G25*53</f>
        <v>343440</v>
      </c>
      <c r="AC25" s="38">
        <f>H25*53</f>
        <v>325208</v>
      </c>
      <c r="AD25" s="39">
        <v>88</v>
      </c>
      <c r="AE25" s="34">
        <f>J25*88</f>
        <v>409816</v>
      </c>
      <c r="AF25" s="34">
        <f>K25*88</f>
        <v>152680</v>
      </c>
      <c r="AG25" s="34">
        <f>L25*88</f>
        <v>257136</v>
      </c>
    </row>
    <row r="26" spans="1:33" s="40" customFormat="1" ht="18" customHeight="1">
      <c r="A26" s="41">
        <v>19</v>
      </c>
      <c r="B26" s="45">
        <v>7297</v>
      </c>
      <c r="C26" s="43">
        <v>3688</v>
      </c>
      <c r="D26" s="43">
        <v>3609</v>
      </c>
      <c r="E26" s="44">
        <v>54</v>
      </c>
      <c r="F26" s="45">
        <v>12405</v>
      </c>
      <c r="G26" s="43">
        <v>6284</v>
      </c>
      <c r="H26" s="43">
        <v>6121</v>
      </c>
      <c r="I26" s="44">
        <v>89</v>
      </c>
      <c r="J26" s="45">
        <v>4258</v>
      </c>
      <c r="K26" s="43">
        <v>1557</v>
      </c>
      <c r="L26" s="43">
        <v>2701</v>
      </c>
      <c r="M26" s="37"/>
      <c r="N26" s="37"/>
      <c r="O26" s="37"/>
      <c r="P26" s="37"/>
      <c r="Q26" s="37"/>
      <c r="R26" s="37"/>
      <c r="S26" s="37"/>
      <c r="T26" s="37"/>
      <c r="U26" s="37"/>
      <c r="V26" s="41">
        <v>19</v>
      </c>
      <c r="W26" s="45">
        <f>B26*19</f>
        <v>138643</v>
      </c>
      <c r="X26" s="45">
        <f>C26*19</f>
        <v>70072</v>
      </c>
      <c r="Y26" s="48">
        <f>D26*19</f>
        <v>68571</v>
      </c>
      <c r="Z26" s="49">
        <v>54</v>
      </c>
      <c r="AA26" s="45">
        <f>F26*54</f>
        <v>669870</v>
      </c>
      <c r="AB26" s="45">
        <f>G26*54</f>
        <v>339336</v>
      </c>
      <c r="AC26" s="48">
        <f>H26*54</f>
        <v>330534</v>
      </c>
      <c r="AD26" s="49">
        <v>89</v>
      </c>
      <c r="AE26" s="45">
        <f>J26*89</f>
        <v>378962</v>
      </c>
      <c r="AF26" s="45">
        <f>K26*89</f>
        <v>138573</v>
      </c>
      <c r="AG26" s="45">
        <f>L26*89</f>
        <v>240389</v>
      </c>
    </row>
    <row r="27" spans="1:33" s="32" customFormat="1" ht="25.5" customHeight="1">
      <c r="A27" s="23" t="s">
        <v>26</v>
      </c>
      <c r="B27" s="24">
        <v>37046</v>
      </c>
      <c r="C27" s="24">
        <v>19617</v>
      </c>
      <c r="D27" s="24">
        <v>17429</v>
      </c>
      <c r="E27" s="25" t="s">
        <v>27</v>
      </c>
      <c r="F27" s="24">
        <v>54929</v>
      </c>
      <c r="G27" s="24">
        <v>28252</v>
      </c>
      <c r="H27" s="24">
        <v>26677</v>
      </c>
      <c r="I27" s="25" t="s">
        <v>28</v>
      </c>
      <c r="J27" s="24">
        <v>13586</v>
      </c>
      <c r="K27" s="24">
        <v>4217</v>
      </c>
      <c r="L27" s="24">
        <v>9369</v>
      </c>
      <c r="M27" s="29"/>
      <c r="N27" s="29"/>
      <c r="O27" s="29"/>
      <c r="P27" s="29"/>
      <c r="Q27" s="29"/>
      <c r="R27" s="29"/>
      <c r="S27" s="29"/>
      <c r="T27" s="29"/>
      <c r="U27" s="29"/>
      <c r="V27" s="23" t="s">
        <v>26</v>
      </c>
      <c r="W27" s="30">
        <f>SUM(W28:W32)</f>
        <v>816848</v>
      </c>
      <c r="X27" s="30">
        <f>SUM(X28:X32)</f>
        <v>433039</v>
      </c>
      <c r="Y27" s="31">
        <f>SUM(Y28:Y32)</f>
        <v>383809</v>
      </c>
      <c r="Z27" s="23" t="s">
        <v>27</v>
      </c>
      <c r="AA27" s="30">
        <f>SUM(AA28:AA32)</f>
        <v>3124178</v>
      </c>
      <c r="AB27" s="30">
        <f>SUM(AB28:AB32)</f>
        <v>1606903</v>
      </c>
      <c r="AC27" s="31">
        <f>SUM(AC28:AC32)</f>
        <v>1517275</v>
      </c>
      <c r="AD27" s="23" t="s">
        <v>28</v>
      </c>
      <c r="AE27" s="30">
        <f>SUM(AE28:AE32)</f>
        <v>1244758</v>
      </c>
      <c r="AF27" s="30">
        <f>SUM(AF28:AF32)</f>
        <v>385876</v>
      </c>
      <c r="AG27" s="30">
        <f>SUM(AG28:AG32)</f>
        <v>858882</v>
      </c>
    </row>
    <row r="28" spans="1:33" s="40" customFormat="1" ht="15.75" customHeight="1">
      <c r="A28" s="33">
        <v>20</v>
      </c>
      <c r="B28" s="34">
        <v>6998</v>
      </c>
      <c r="C28" s="35">
        <v>3575</v>
      </c>
      <c r="D28" s="35">
        <v>3423</v>
      </c>
      <c r="E28" s="36">
        <v>55</v>
      </c>
      <c r="F28" s="34">
        <v>11932</v>
      </c>
      <c r="G28" s="35">
        <v>6112</v>
      </c>
      <c r="H28" s="35">
        <v>5820</v>
      </c>
      <c r="I28" s="36">
        <v>90</v>
      </c>
      <c r="J28" s="34">
        <v>3826</v>
      </c>
      <c r="K28" s="35">
        <v>1317</v>
      </c>
      <c r="L28" s="35">
        <v>2509</v>
      </c>
      <c r="M28" s="37"/>
      <c r="N28" s="37"/>
      <c r="O28" s="37"/>
      <c r="P28" s="37"/>
      <c r="Q28" s="37"/>
      <c r="R28" s="37"/>
      <c r="S28" s="37"/>
      <c r="T28" s="37"/>
      <c r="U28" s="37"/>
      <c r="V28" s="33">
        <v>20</v>
      </c>
      <c r="W28" s="34">
        <f>B28*20</f>
        <v>139960</v>
      </c>
      <c r="X28" s="34">
        <f>C28*20</f>
        <v>71500</v>
      </c>
      <c r="Y28" s="38">
        <f>D28*20</f>
        <v>68460</v>
      </c>
      <c r="Z28" s="39">
        <v>55</v>
      </c>
      <c r="AA28" s="34">
        <f>F28*55</f>
        <v>656260</v>
      </c>
      <c r="AB28" s="34">
        <f>G28*55</f>
        <v>336160</v>
      </c>
      <c r="AC28" s="38">
        <f>H28*55</f>
        <v>320100</v>
      </c>
      <c r="AD28" s="39">
        <v>90</v>
      </c>
      <c r="AE28" s="34">
        <f>J28*90</f>
        <v>344340</v>
      </c>
      <c r="AF28" s="34">
        <f>K28*90</f>
        <v>118530</v>
      </c>
      <c r="AG28" s="34">
        <f>L28*90</f>
        <v>225810</v>
      </c>
    </row>
    <row r="29" spans="1:33" s="40" customFormat="1" ht="15.75" customHeight="1">
      <c r="A29" s="33">
        <v>21</v>
      </c>
      <c r="B29" s="34">
        <v>7365</v>
      </c>
      <c r="C29" s="35">
        <v>3937</v>
      </c>
      <c r="D29" s="35">
        <v>3428</v>
      </c>
      <c r="E29" s="36">
        <v>56</v>
      </c>
      <c r="F29" s="34">
        <v>11439</v>
      </c>
      <c r="G29" s="35">
        <v>5960</v>
      </c>
      <c r="H29" s="35">
        <v>5479</v>
      </c>
      <c r="I29" s="36">
        <v>91</v>
      </c>
      <c r="J29" s="34">
        <v>3241</v>
      </c>
      <c r="K29" s="35">
        <v>1021</v>
      </c>
      <c r="L29" s="35">
        <v>2220</v>
      </c>
      <c r="M29" s="37"/>
      <c r="N29" s="37"/>
      <c r="O29" s="37"/>
      <c r="P29" s="37"/>
      <c r="Q29" s="37"/>
      <c r="R29" s="37"/>
      <c r="S29" s="37"/>
      <c r="T29" s="37"/>
      <c r="U29" s="37"/>
      <c r="V29" s="33">
        <v>21</v>
      </c>
      <c r="W29" s="34">
        <f>B29*21</f>
        <v>154665</v>
      </c>
      <c r="X29" s="34">
        <f>C29*21</f>
        <v>82677</v>
      </c>
      <c r="Y29" s="38">
        <f>D29*21</f>
        <v>71988</v>
      </c>
      <c r="Z29" s="39">
        <v>56</v>
      </c>
      <c r="AA29" s="34">
        <f>F29*56</f>
        <v>640584</v>
      </c>
      <c r="AB29" s="34">
        <f>G29*56</f>
        <v>333760</v>
      </c>
      <c r="AC29" s="38">
        <f>H29*56</f>
        <v>306824</v>
      </c>
      <c r="AD29" s="39">
        <v>91</v>
      </c>
      <c r="AE29" s="34">
        <f>J29*91</f>
        <v>294931</v>
      </c>
      <c r="AF29" s="34">
        <f>K29*91</f>
        <v>92911</v>
      </c>
      <c r="AG29" s="34">
        <f>L29*91</f>
        <v>202020</v>
      </c>
    </row>
    <row r="30" spans="1:33" s="40" customFormat="1" ht="15.75" customHeight="1">
      <c r="A30" s="33">
        <v>22</v>
      </c>
      <c r="B30" s="34">
        <v>7239</v>
      </c>
      <c r="C30" s="35">
        <v>3765</v>
      </c>
      <c r="D30" s="35">
        <v>3474</v>
      </c>
      <c r="E30" s="36">
        <v>57</v>
      </c>
      <c r="F30" s="34">
        <v>11641</v>
      </c>
      <c r="G30" s="35">
        <v>5903</v>
      </c>
      <c r="H30" s="35">
        <v>5738</v>
      </c>
      <c r="I30" s="36">
        <v>92</v>
      </c>
      <c r="J30" s="34">
        <v>2526</v>
      </c>
      <c r="K30" s="35">
        <v>763</v>
      </c>
      <c r="L30" s="35">
        <v>1763</v>
      </c>
      <c r="M30" s="37"/>
      <c r="N30" s="37"/>
      <c r="O30" s="37"/>
      <c r="P30" s="37"/>
      <c r="Q30" s="37"/>
      <c r="R30" s="37"/>
      <c r="S30" s="37"/>
      <c r="T30" s="37"/>
      <c r="U30" s="37"/>
      <c r="V30" s="33">
        <v>22</v>
      </c>
      <c r="W30" s="34">
        <f>B30*22</f>
        <v>159258</v>
      </c>
      <c r="X30" s="34">
        <f>C30*22</f>
        <v>82830</v>
      </c>
      <c r="Y30" s="38">
        <f>D30*22</f>
        <v>76428</v>
      </c>
      <c r="Z30" s="39">
        <v>57</v>
      </c>
      <c r="AA30" s="34">
        <f>F30*57</f>
        <v>663537</v>
      </c>
      <c r="AB30" s="34">
        <f>G30*57</f>
        <v>336471</v>
      </c>
      <c r="AC30" s="38">
        <f>H30*57</f>
        <v>327066</v>
      </c>
      <c r="AD30" s="39">
        <v>92</v>
      </c>
      <c r="AE30" s="34">
        <f>J30*92</f>
        <v>232392</v>
      </c>
      <c r="AF30" s="34">
        <f>K30*92</f>
        <v>70196</v>
      </c>
      <c r="AG30" s="34">
        <f>L30*92</f>
        <v>162196</v>
      </c>
    </row>
    <row r="31" spans="1:33" s="40" customFormat="1" ht="15.75" customHeight="1">
      <c r="A31" s="33">
        <v>23</v>
      </c>
      <c r="B31" s="34">
        <v>7691</v>
      </c>
      <c r="C31" s="35">
        <v>4128</v>
      </c>
      <c r="D31" s="35">
        <v>3563</v>
      </c>
      <c r="E31" s="36">
        <v>58</v>
      </c>
      <c r="F31" s="34">
        <v>11306</v>
      </c>
      <c r="G31" s="35">
        <v>5831</v>
      </c>
      <c r="H31" s="35">
        <v>5475</v>
      </c>
      <c r="I31" s="36">
        <v>93</v>
      </c>
      <c r="J31" s="34">
        <v>2247</v>
      </c>
      <c r="K31" s="35">
        <v>665</v>
      </c>
      <c r="L31" s="35">
        <v>1582</v>
      </c>
      <c r="M31" s="37"/>
      <c r="N31" s="37"/>
      <c r="O31" s="37"/>
      <c r="P31" s="37"/>
      <c r="Q31" s="37"/>
      <c r="R31" s="37"/>
      <c r="S31" s="37"/>
      <c r="T31" s="37"/>
      <c r="U31" s="37"/>
      <c r="V31" s="33">
        <v>23</v>
      </c>
      <c r="W31" s="34">
        <f>B31*23</f>
        <v>176893</v>
      </c>
      <c r="X31" s="34">
        <f>C31*23</f>
        <v>94944</v>
      </c>
      <c r="Y31" s="38">
        <f>D31*23</f>
        <v>81949</v>
      </c>
      <c r="Z31" s="39">
        <v>58</v>
      </c>
      <c r="AA31" s="34">
        <f>F31*58</f>
        <v>655748</v>
      </c>
      <c r="AB31" s="34">
        <f>G31*58</f>
        <v>338198</v>
      </c>
      <c r="AC31" s="38">
        <f>H31*58</f>
        <v>317550</v>
      </c>
      <c r="AD31" s="39">
        <v>93</v>
      </c>
      <c r="AE31" s="34">
        <f>J31*93</f>
        <v>208971</v>
      </c>
      <c r="AF31" s="34">
        <f>K31*93</f>
        <v>61845</v>
      </c>
      <c r="AG31" s="34">
        <f>L31*93</f>
        <v>147126</v>
      </c>
    </row>
    <row r="32" spans="1:33" s="40" customFormat="1" ht="18" customHeight="1">
      <c r="A32" s="41">
        <v>24</v>
      </c>
      <c r="B32" s="45">
        <v>7753</v>
      </c>
      <c r="C32" s="43">
        <v>4212</v>
      </c>
      <c r="D32" s="43">
        <v>3541</v>
      </c>
      <c r="E32" s="44">
        <v>59</v>
      </c>
      <c r="F32" s="45">
        <v>8611</v>
      </c>
      <c r="G32" s="43">
        <v>4446</v>
      </c>
      <c r="H32" s="43">
        <v>4165</v>
      </c>
      <c r="I32" s="44">
        <v>94</v>
      </c>
      <c r="J32" s="45">
        <v>1746</v>
      </c>
      <c r="K32" s="43">
        <v>451</v>
      </c>
      <c r="L32" s="43">
        <v>1295</v>
      </c>
      <c r="M32" s="37"/>
      <c r="N32" s="37"/>
      <c r="O32" s="37"/>
      <c r="P32" s="37"/>
      <c r="Q32" s="37"/>
      <c r="R32" s="37"/>
      <c r="S32" s="37"/>
      <c r="T32" s="37"/>
      <c r="U32" s="37"/>
      <c r="V32" s="41">
        <v>24</v>
      </c>
      <c r="W32" s="45">
        <f>B32*24</f>
        <v>186072</v>
      </c>
      <c r="X32" s="45">
        <f>C32*24</f>
        <v>101088</v>
      </c>
      <c r="Y32" s="48">
        <f>D32*24</f>
        <v>84984</v>
      </c>
      <c r="Z32" s="49">
        <v>59</v>
      </c>
      <c r="AA32" s="45">
        <f>F32*59</f>
        <v>508049</v>
      </c>
      <c r="AB32" s="45">
        <f>G32*59</f>
        <v>262314</v>
      </c>
      <c r="AC32" s="48">
        <f>H32*59</f>
        <v>245735</v>
      </c>
      <c r="AD32" s="49">
        <v>94</v>
      </c>
      <c r="AE32" s="45">
        <f>J32*94</f>
        <v>164124</v>
      </c>
      <c r="AF32" s="45">
        <f>K32*94</f>
        <v>42394</v>
      </c>
      <c r="AG32" s="45">
        <f>L32*94</f>
        <v>121730</v>
      </c>
    </row>
    <row r="33" spans="1:33" s="32" customFormat="1" ht="25.5" customHeight="1">
      <c r="A33" s="23" t="s">
        <v>29</v>
      </c>
      <c r="B33" s="24">
        <v>39449</v>
      </c>
      <c r="C33" s="24">
        <v>21206</v>
      </c>
      <c r="D33" s="24">
        <v>18243</v>
      </c>
      <c r="E33" s="66" t="s">
        <v>30</v>
      </c>
      <c r="F33" s="24">
        <v>49246</v>
      </c>
      <c r="G33" s="24">
        <v>25250</v>
      </c>
      <c r="H33" s="24">
        <v>23996</v>
      </c>
      <c r="I33" s="67" t="s">
        <v>31</v>
      </c>
      <c r="J33" s="30">
        <v>4830</v>
      </c>
      <c r="K33" s="30">
        <v>1015</v>
      </c>
      <c r="L33" s="30">
        <v>3815</v>
      </c>
      <c r="M33" s="29"/>
      <c r="N33" s="29"/>
      <c r="O33" s="29"/>
      <c r="P33" s="29"/>
      <c r="Q33" s="29"/>
      <c r="R33" s="29"/>
      <c r="S33" s="29"/>
      <c r="T33" s="29"/>
      <c r="U33" s="29"/>
      <c r="V33" s="23" t="s">
        <v>29</v>
      </c>
      <c r="W33" s="30">
        <f>SUM(W34:W38)</f>
        <v>1064499</v>
      </c>
      <c r="X33" s="30">
        <f>SUM(X34:X38)</f>
        <v>572266</v>
      </c>
      <c r="Y33" s="31">
        <f>SUM(Y34:Y38)</f>
        <v>492233</v>
      </c>
      <c r="Z33" s="23" t="s">
        <v>30</v>
      </c>
      <c r="AA33" s="30">
        <f>SUM(AA34:AA38)</f>
        <v>3050233</v>
      </c>
      <c r="AB33" s="30">
        <f>SUM(AB34:AB38)</f>
        <v>1563766</v>
      </c>
      <c r="AC33" s="31">
        <f>SUM(AC34:AC38)</f>
        <v>1486467</v>
      </c>
      <c r="AD33" s="68" t="s">
        <v>31</v>
      </c>
      <c r="AE33" s="30">
        <f>SUM(AE34:AE43)</f>
        <v>469067</v>
      </c>
      <c r="AF33" s="30">
        <f>SUM(AF34:AF43)</f>
        <v>98193</v>
      </c>
      <c r="AG33" s="30">
        <f>SUM(AG34:AG43)</f>
        <v>370874</v>
      </c>
    </row>
    <row r="34" spans="1:33" s="40" customFormat="1" ht="15.75" customHeight="1">
      <c r="A34" s="33">
        <v>25</v>
      </c>
      <c r="B34" s="34">
        <v>7943</v>
      </c>
      <c r="C34" s="35">
        <v>4246</v>
      </c>
      <c r="D34" s="35">
        <v>3697</v>
      </c>
      <c r="E34" s="36">
        <v>60</v>
      </c>
      <c r="F34" s="34">
        <v>10222</v>
      </c>
      <c r="G34" s="35">
        <v>5232</v>
      </c>
      <c r="H34" s="35">
        <v>4990</v>
      </c>
      <c r="I34" s="36">
        <v>95</v>
      </c>
      <c r="J34" s="34">
        <v>1355</v>
      </c>
      <c r="K34" s="35">
        <v>349</v>
      </c>
      <c r="L34" s="35">
        <v>1006</v>
      </c>
      <c r="M34" s="37"/>
      <c r="N34" s="37"/>
      <c r="O34" s="37"/>
      <c r="P34" s="37"/>
      <c r="Q34" s="37"/>
      <c r="R34" s="37"/>
      <c r="S34" s="37"/>
      <c r="T34" s="37"/>
      <c r="U34" s="37"/>
      <c r="V34" s="33">
        <v>25</v>
      </c>
      <c r="W34" s="34">
        <f>B34*25</f>
        <v>198575</v>
      </c>
      <c r="X34" s="34">
        <f>C34*25</f>
        <v>106150</v>
      </c>
      <c r="Y34" s="38">
        <f>D34*25</f>
        <v>92425</v>
      </c>
      <c r="Z34" s="39">
        <v>60</v>
      </c>
      <c r="AA34" s="34">
        <f>F34*60</f>
        <v>613320</v>
      </c>
      <c r="AB34" s="34">
        <f>G34*60</f>
        <v>313920</v>
      </c>
      <c r="AC34" s="38">
        <f>H34*60</f>
        <v>299400</v>
      </c>
      <c r="AD34" s="69">
        <v>95</v>
      </c>
      <c r="AE34" s="70">
        <f>J34*95</f>
        <v>128725</v>
      </c>
      <c r="AF34" s="70">
        <f>K34*95</f>
        <v>33155</v>
      </c>
      <c r="AG34" s="70">
        <f>L34*95</f>
        <v>95570</v>
      </c>
    </row>
    <row r="35" spans="1:33" s="40" customFormat="1" ht="15.75" customHeight="1">
      <c r="A35" s="33">
        <v>26</v>
      </c>
      <c r="B35" s="34">
        <v>8025</v>
      </c>
      <c r="C35" s="35">
        <v>4317</v>
      </c>
      <c r="D35" s="35">
        <v>3708</v>
      </c>
      <c r="E35" s="36">
        <v>61</v>
      </c>
      <c r="F35" s="34">
        <v>10439</v>
      </c>
      <c r="G35" s="35">
        <v>5433</v>
      </c>
      <c r="H35" s="35">
        <v>5006</v>
      </c>
      <c r="I35" s="36">
        <v>96</v>
      </c>
      <c r="J35" s="34">
        <v>1028</v>
      </c>
      <c r="K35" s="35">
        <v>213</v>
      </c>
      <c r="L35" s="35">
        <v>815</v>
      </c>
      <c r="M35" s="37"/>
      <c r="N35" s="37"/>
      <c r="O35" s="37"/>
      <c r="P35" s="37"/>
      <c r="Q35" s="37"/>
      <c r="R35" s="37"/>
      <c r="S35" s="37"/>
      <c r="T35" s="37"/>
      <c r="U35" s="37"/>
      <c r="V35" s="33">
        <v>26</v>
      </c>
      <c r="W35" s="34">
        <f>B35*26</f>
        <v>208650</v>
      </c>
      <c r="X35" s="34">
        <f>C35*26</f>
        <v>112242</v>
      </c>
      <c r="Y35" s="38">
        <f>D35*26</f>
        <v>96408</v>
      </c>
      <c r="Z35" s="39">
        <v>61</v>
      </c>
      <c r="AA35" s="34">
        <f>F35*61</f>
        <v>636779</v>
      </c>
      <c r="AB35" s="34">
        <f>G35*61</f>
        <v>331413</v>
      </c>
      <c r="AC35" s="38">
        <f>H35*61</f>
        <v>305366</v>
      </c>
      <c r="AD35" s="69">
        <v>96</v>
      </c>
      <c r="AE35" s="70">
        <f>J35*96</f>
        <v>98688</v>
      </c>
      <c r="AF35" s="70">
        <f>K35*96</f>
        <v>20448</v>
      </c>
      <c r="AG35" s="70">
        <f>L35*96</f>
        <v>78240</v>
      </c>
    </row>
    <row r="36" spans="1:33" s="40" customFormat="1" ht="15.75" customHeight="1">
      <c r="A36" s="33">
        <v>27</v>
      </c>
      <c r="B36" s="34">
        <v>8003</v>
      </c>
      <c r="C36" s="35">
        <v>4316</v>
      </c>
      <c r="D36" s="35">
        <v>3687</v>
      </c>
      <c r="E36" s="36">
        <v>62</v>
      </c>
      <c r="F36" s="34">
        <v>9944</v>
      </c>
      <c r="G36" s="35">
        <v>5060</v>
      </c>
      <c r="H36" s="35">
        <v>4884</v>
      </c>
      <c r="I36" s="36">
        <v>97</v>
      </c>
      <c r="J36" s="34">
        <v>774</v>
      </c>
      <c r="K36" s="35">
        <v>183</v>
      </c>
      <c r="L36" s="35">
        <v>591</v>
      </c>
      <c r="M36" s="37"/>
      <c r="N36" s="37"/>
      <c r="O36" s="37"/>
      <c r="P36" s="37"/>
      <c r="Q36" s="37"/>
      <c r="R36" s="37"/>
      <c r="S36" s="37"/>
      <c r="T36" s="37"/>
      <c r="U36" s="37"/>
      <c r="V36" s="33">
        <v>27</v>
      </c>
      <c r="W36" s="34">
        <f>B36*27</f>
        <v>216081</v>
      </c>
      <c r="X36" s="34">
        <f>C36*27</f>
        <v>116532</v>
      </c>
      <c r="Y36" s="38">
        <f>D36*27</f>
        <v>99549</v>
      </c>
      <c r="Z36" s="39">
        <v>62</v>
      </c>
      <c r="AA36" s="34">
        <f>F36*62</f>
        <v>616528</v>
      </c>
      <c r="AB36" s="34">
        <f>G36*62</f>
        <v>313720</v>
      </c>
      <c r="AC36" s="38">
        <f>H36*62</f>
        <v>302808</v>
      </c>
      <c r="AD36" s="69">
        <v>97</v>
      </c>
      <c r="AE36" s="70">
        <f>J36*97</f>
        <v>75078</v>
      </c>
      <c r="AF36" s="70">
        <f>K36*97</f>
        <v>17751</v>
      </c>
      <c r="AG36" s="70">
        <f>L36*97</f>
        <v>57327</v>
      </c>
    </row>
    <row r="37" spans="1:33" s="40" customFormat="1" ht="15.75" customHeight="1">
      <c r="A37" s="33">
        <v>28</v>
      </c>
      <c r="B37" s="34">
        <v>7669</v>
      </c>
      <c r="C37" s="35">
        <v>4141</v>
      </c>
      <c r="D37" s="35">
        <v>3528</v>
      </c>
      <c r="E37" s="36">
        <v>63</v>
      </c>
      <c r="F37" s="34">
        <v>9418</v>
      </c>
      <c r="G37" s="35">
        <v>4887</v>
      </c>
      <c r="H37" s="35">
        <v>4531</v>
      </c>
      <c r="I37" s="36">
        <v>98</v>
      </c>
      <c r="J37" s="34">
        <v>582</v>
      </c>
      <c r="K37" s="35">
        <v>103</v>
      </c>
      <c r="L37" s="35">
        <v>479</v>
      </c>
      <c r="M37" s="37"/>
      <c r="N37" s="37"/>
      <c r="O37" s="37"/>
      <c r="P37" s="37"/>
      <c r="Q37" s="37"/>
      <c r="R37" s="37"/>
      <c r="S37" s="37"/>
      <c r="T37" s="37"/>
      <c r="U37" s="37"/>
      <c r="V37" s="33">
        <v>28</v>
      </c>
      <c r="W37" s="34">
        <f>B37*28</f>
        <v>214732</v>
      </c>
      <c r="X37" s="34">
        <f>C37*28</f>
        <v>115948</v>
      </c>
      <c r="Y37" s="38">
        <f>D37*28</f>
        <v>98784</v>
      </c>
      <c r="Z37" s="39">
        <v>63</v>
      </c>
      <c r="AA37" s="34">
        <f>F37*63</f>
        <v>593334</v>
      </c>
      <c r="AB37" s="34">
        <f>G37*63</f>
        <v>307881</v>
      </c>
      <c r="AC37" s="38">
        <f>H37*63</f>
        <v>285453</v>
      </c>
      <c r="AD37" s="69">
        <v>98</v>
      </c>
      <c r="AE37" s="70">
        <f>J37*98</f>
        <v>57036</v>
      </c>
      <c r="AF37" s="70">
        <f>K37*98</f>
        <v>10094</v>
      </c>
      <c r="AG37" s="70">
        <f>L37*98</f>
        <v>46942</v>
      </c>
    </row>
    <row r="38" spans="1:33" s="40" customFormat="1" ht="18" customHeight="1">
      <c r="A38" s="41">
        <v>29</v>
      </c>
      <c r="B38" s="45">
        <v>7809</v>
      </c>
      <c r="C38" s="43">
        <v>4186</v>
      </c>
      <c r="D38" s="43">
        <v>3623</v>
      </c>
      <c r="E38" s="44">
        <v>64</v>
      </c>
      <c r="F38" s="45">
        <v>9223</v>
      </c>
      <c r="G38" s="43">
        <v>4638</v>
      </c>
      <c r="H38" s="43">
        <v>4585</v>
      </c>
      <c r="I38" s="36">
        <v>99</v>
      </c>
      <c r="J38" s="34">
        <v>411</v>
      </c>
      <c r="K38" s="35">
        <v>68</v>
      </c>
      <c r="L38" s="35">
        <v>343</v>
      </c>
      <c r="M38" s="37"/>
      <c r="N38" s="37"/>
      <c r="O38" s="37"/>
      <c r="P38" s="37"/>
      <c r="Q38" s="37"/>
      <c r="R38" s="37"/>
      <c r="S38" s="37"/>
      <c r="T38" s="37"/>
      <c r="U38" s="37"/>
      <c r="V38" s="41">
        <v>29</v>
      </c>
      <c r="W38" s="45">
        <f>B38*29</f>
        <v>226461</v>
      </c>
      <c r="X38" s="45">
        <f>C38*29</f>
        <v>121394</v>
      </c>
      <c r="Y38" s="48">
        <f>D38*29</f>
        <v>105067</v>
      </c>
      <c r="Z38" s="49">
        <v>64</v>
      </c>
      <c r="AA38" s="45">
        <f>F38*64</f>
        <v>590272</v>
      </c>
      <c r="AB38" s="45">
        <f>G38*64</f>
        <v>296832</v>
      </c>
      <c r="AC38" s="48">
        <f>H38*64</f>
        <v>293440</v>
      </c>
      <c r="AD38" s="69">
        <v>99</v>
      </c>
      <c r="AE38" s="70">
        <f>J38*99</f>
        <v>40689</v>
      </c>
      <c r="AF38" s="70">
        <f>K38*99</f>
        <v>6732</v>
      </c>
      <c r="AG38" s="70">
        <f>L38*99</f>
        <v>33957</v>
      </c>
    </row>
    <row r="39" spans="1:33" s="32" customFormat="1" ht="25.5" customHeight="1">
      <c r="A39" s="23" t="s">
        <v>32</v>
      </c>
      <c r="B39" s="24">
        <v>38880</v>
      </c>
      <c r="C39" s="24">
        <v>20705</v>
      </c>
      <c r="D39" s="24">
        <v>18175</v>
      </c>
      <c r="E39" s="25" t="s">
        <v>33</v>
      </c>
      <c r="F39" s="24">
        <v>46662</v>
      </c>
      <c r="G39" s="24">
        <v>23387</v>
      </c>
      <c r="H39" s="24">
        <v>23275</v>
      </c>
      <c r="I39" s="71">
        <v>100</v>
      </c>
      <c r="J39" s="72">
        <v>282</v>
      </c>
      <c r="K39" s="73">
        <v>41</v>
      </c>
      <c r="L39" s="73">
        <v>241</v>
      </c>
      <c r="M39" s="29"/>
      <c r="N39" s="29"/>
      <c r="O39" s="29"/>
      <c r="P39" s="29"/>
      <c r="Q39" s="29"/>
      <c r="R39" s="29"/>
      <c r="S39" s="29"/>
      <c r="T39" s="29"/>
      <c r="U39" s="29"/>
      <c r="V39" s="23" t="s">
        <v>32</v>
      </c>
      <c r="W39" s="30">
        <f>SUM(W40:W44)</f>
        <v>1244144</v>
      </c>
      <c r="X39" s="30">
        <f>SUM(X40:X44)</f>
        <v>662452</v>
      </c>
      <c r="Y39" s="31">
        <f>SUM(Y40:Y44)</f>
        <v>581692</v>
      </c>
      <c r="Z39" s="23" t="s">
        <v>33</v>
      </c>
      <c r="AA39" s="30">
        <f>SUM(AA40:AA44)</f>
        <v>3126080</v>
      </c>
      <c r="AB39" s="30">
        <f>SUM(AB40:AB44)</f>
        <v>1566476</v>
      </c>
      <c r="AC39" s="31">
        <f>SUM(AC40:AC44)</f>
        <v>1559604</v>
      </c>
      <c r="AD39" s="74">
        <v>100</v>
      </c>
      <c r="AE39" s="72">
        <f>J39*100</f>
        <v>28200</v>
      </c>
      <c r="AF39" s="72">
        <f>K39*100</f>
        <v>4100</v>
      </c>
      <c r="AG39" s="72">
        <f>L39*100</f>
        <v>24100</v>
      </c>
    </row>
    <row r="40" spans="1:33" s="40" customFormat="1" ht="15.75" customHeight="1">
      <c r="A40" s="33">
        <v>30</v>
      </c>
      <c r="B40" s="34">
        <v>7740</v>
      </c>
      <c r="C40" s="35">
        <v>4164</v>
      </c>
      <c r="D40" s="35">
        <v>3576</v>
      </c>
      <c r="E40" s="36">
        <v>65</v>
      </c>
      <c r="F40" s="34">
        <v>9188</v>
      </c>
      <c r="G40" s="35">
        <v>4633</v>
      </c>
      <c r="H40" s="35">
        <v>4555</v>
      </c>
      <c r="I40" s="36">
        <v>101</v>
      </c>
      <c r="J40" s="34">
        <v>164</v>
      </c>
      <c r="K40" s="35">
        <v>27</v>
      </c>
      <c r="L40" s="35">
        <v>137</v>
      </c>
      <c r="M40" s="37"/>
      <c r="N40" s="37"/>
      <c r="O40" s="37"/>
      <c r="P40" s="37"/>
      <c r="Q40" s="37"/>
      <c r="R40" s="37"/>
      <c r="S40" s="37"/>
      <c r="T40" s="37"/>
      <c r="U40" s="37"/>
      <c r="V40" s="33">
        <v>30</v>
      </c>
      <c r="W40" s="34">
        <f>B40*30</f>
        <v>232200</v>
      </c>
      <c r="X40" s="34">
        <f>C40*30</f>
        <v>124920</v>
      </c>
      <c r="Y40" s="38">
        <f>D40*30</f>
        <v>107280</v>
      </c>
      <c r="Z40" s="39">
        <v>65</v>
      </c>
      <c r="AA40" s="34">
        <f>F40*65</f>
        <v>597220</v>
      </c>
      <c r="AB40" s="34">
        <f>G40*65</f>
        <v>301145</v>
      </c>
      <c r="AC40" s="38">
        <f>H40*65</f>
        <v>296075</v>
      </c>
      <c r="AD40" s="39">
        <v>101</v>
      </c>
      <c r="AE40" s="34">
        <f>J40*101</f>
        <v>16564</v>
      </c>
      <c r="AF40" s="34">
        <f>K40*101</f>
        <v>2727</v>
      </c>
      <c r="AG40" s="34">
        <f>L40*101</f>
        <v>13837</v>
      </c>
    </row>
    <row r="41" spans="1:33" s="40" customFormat="1" ht="15.75" customHeight="1">
      <c r="A41" s="33">
        <v>31</v>
      </c>
      <c r="B41" s="34">
        <v>7881</v>
      </c>
      <c r="C41" s="35">
        <v>4195</v>
      </c>
      <c r="D41" s="35">
        <v>3686</v>
      </c>
      <c r="E41" s="36">
        <v>66</v>
      </c>
      <c r="F41" s="34">
        <v>9369</v>
      </c>
      <c r="G41" s="35">
        <v>4751</v>
      </c>
      <c r="H41" s="35">
        <v>4618</v>
      </c>
      <c r="I41" s="36">
        <v>102</v>
      </c>
      <c r="J41" s="34">
        <v>96</v>
      </c>
      <c r="K41" s="35">
        <v>14</v>
      </c>
      <c r="L41" s="35">
        <v>82</v>
      </c>
      <c r="M41" s="37"/>
      <c r="N41" s="37"/>
      <c r="O41" s="37"/>
      <c r="P41" s="37"/>
      <c r="Q41" s="37"/>
      <c r="R41" s="37"/>
      <c r="S41" s="37"/>
      <c r="T41" s="37"/>
      <c r="U41" s="37"/>
      <c r="V41" s="33">
        <v>31</v>
      </c>
      <c r="W41" s="34">
        <f>B41*31</f>
        <v>244311</v>
      </c>
      <c r="X41" s="34">
        <f>C41*31</f>
        <v>130045</v>
      </c>
      <c r="Y41" s="38">
        <f>D41*31</f>
        <v>114266</v>
      </c>
      <c r="Z41" s="39">
        <v>66</v>
      </c>
      <c r="AA41" s="34">
        <f>F41*66</f>
        <v>618354</v>
      </c>
      <c r="AB41" s="34">
        <f>G41*66</f>
        <v>313566</v>
      </c>
      <c r="AC41" s="38">
        <f>H41*66</f>
        <v>304788</v>
      </c>
      <c r="AD41" s="39">
        <v>102</v>
      </c>
      <c r="AE41" s="34">
        <f>J41*102</f>
        <v>9792</v>
      </c>
      <c r="AF41" s="34">
        <f>K41*102</f>
        <v>1428</v>
      </c>
      <c r="AG41" s="34">
        <f>L41*102</f>
        <v>8364</v>
      </c>
    </row>
    <row r="42" spans="1:33" s="40" customFormat="1" ht="15.75" customHeight="1">
      <c r="A42" s="33">
        <v>32</v>
      </c>
      <c r="B42" s="34">
        <v>7808</v>
      </c>
      <c r="C42" s="35">
        <v>4158</v>
      </c>
      <c r="D42" s="35">
        <v>3650</v>
      </c>
      <c r="E42" s="36">
        <v>67</v>
      </c>
      <c r="F42" s="34">
        <v>9764</v>
      </c>
      <c r="G42" s="35">
        <v>4894</v>
      </c>
      <c r="H42" s="35">
        <v>4870</v>
      </c>
      <c r="I42" s="36">
        <v>103</v>
      </c>
      <c r="J42" s="34">
        <v>57</v>
      </c>
      <c r="K42" s="35">
        <v>10</v>
      </c>
      <c r="L42" s="35">
        <v>47</v>
      </c>
      <c r="M42" s="37"/>
      <c r="N42" s="37"/>
      <c r="O42" s="37"/>
      <c r="P42" s="37"/>
      <c r="Q42" s="37"/>
      <c r="R42" s="37"/>
      <c r="S42" s="37"/>
      <c r="T42" s="37"/>
      <c r="U42" s="37"/>
      <c r="V42" s="33">
        <v>32</v>
      </c>
      <c r="W42" s="34">
        <f>B42*32</f>
        <v>249856</v>
      </c>
      <c r="X42" s="34">
        <f>C42*32</f>
        <v>133056</v>
      </c>
      <c r="Y42" s="38">
        <f>D42*32</f>
        <v>116800</v>
      </c>
      <c r="Z42" s="39">
        <v>67</v>
      </c>
      <c r="AA42" s="34">
        <f>F42*67</f>
        <v>654188</v>
      </c>
      <c r="AB42" s="34">
        <f>G42*67</f>
        <v>327898</v>
      </c>
      <c r="AC42" s="38">
        <f>H42*67</f>
        <v>326290</v>
      </c>
      <c r="AD42" s="39">
        <v>103</v>
      </c>
      <c r="AE42" s="34">
        <f>J42*103</f>
        <v>5871</v>
      </c>
      <c r="AF42" s="34">
        <f>K42*103</f>
        <v>1030</v>
      </c>
      <c r="AG42" s="34">
        <f>L42*103</f>
        <v>4841</v>
      </c>
    </row>
    <row r="43" spans="1:33" s="40" customFormat="1" ht="15.75" customHeight="1">
      <c r="A43" s="33">
        <v>33</v>
      </c>
      <c r="B43" s="34">
        <v>7557</v>
      </c>
      <c r="C43" s="35">
        <v>3961</v>
      </c>
      <c r="D43" s="35">
        <v>3596</v>
      </c>
      <c r="E43" s="36">
        <v>68</v>
      </c>
      <c r="F43" s="34">
        <v>9211</v>
      </c>
      <c r="G43" s="35">
        <v>4654</v>
      </c>
      <c r="H43" s="35">
        <v>4557</v>
      </c>
      <c r="I43" s="75" t="s">
        <v>34</v>
      </c>
      <c r="J43" s="45">
        <v>81</v>
      </c>
      <c r="K43" s="43">
        <v>7</v>
      </c>
      <c r="L43" s="43">
        <v>74</v>
      </c>
      <c r="M43" s="37"/>
      <c r="N43" s="37"/>
      <c r="O43" s="37"/>
      <c r="P43" s="37"/>
      <c r="Q43" s="37"/>
      <c r="R43" s="37"/>
      <c r="S43" s="37"/>
      <c r="T43" s="37"/>
      <c r="U43" s="37"/>
      <c r="V43" s="33">
        <v>33</v>
      </c>
      <c r="W43" s="34">
        <f>B43*33</f>
        <v>249381</v>
      </c>
      <c r="X43" s="34">
        <f>C43*33</f>
        <v>130713</v>
      </c>
      <c r="Y43" s="38">
        <f>D43*33</f>
        <v>118668</v>
      </c>
      <c r="Z43" s="39">
        <v>68</v>
      </c>
      <c r="AA43" s="34">
        <f>F43*68</f>
        <v>626348</v>
      </c>
      <c r="AB43" s="34">
        <f>G43*68</f>
        <v>316472</v>
      </c>
      <c r="AC43" s="38">
        <f>H43*68</f>
        <v>309876</v>
      </c>
      <c r="AD43" s="76" t="s">
        <v>34</v>
      </c>
      <c r="AE43" s="45">
        <f>J43*104</f>
        <v>8424</v>
      </c>
      <c r="AF43" s="45">
        <f>K43*104</f>
        <v>728</v>
      </c>
      <c r="AG43" s="45">
        <f>L43*104</f>
        <v>7696</v>
      </c>
    </row>
    <row r="44" spans="1:33" s="40" customFormat="1" ht="21" customHeight="1" thickBot="1">
      <c r="A44" s="77">
        <v>34</v>
      </c>
      <c r="B44" s="34">
        <v>7894</v>
      </c>
      <c r="C44" s="43">
        <v>4227</v>
      </c>
      <c r="D44" s="43">
        <v>3667</v>
      </c>
      <c r="E44" s="36">
        <v>69</v>
      </c>
      <c r="F44" s="34">
        <v>9130</v>
      </c>
      <c r="G44" s="35">
        <v>4455</v>
      </c>
      <c r="H44" s="43">
        <v>4675</v>
      </c>
      <c r="I44" s="78" t="s">
        <v>6</v>
      </c>
      <c r="J44" s="72">
        <v>775457</v>
      </c>
      <c r="K44" s="72">
        <v>386734</v>
      </c>
      <c r="L44" s="72">
        <v>388723</v>
      </c>
      <c r="M44" s="37"/>
      <c r="N44" s="37"/>
      <c r="O44" s="37"/>
      <c r="P44" s="37"/>
      <c r="Q44" s="37"/>
      <c r="R44" s="37"/>
      <c r="S44" s="37"/>
      <c r="T44" s="37"/>
      <c r="U44" s="37"/>
      <c r="V44" s="77">
        <v>34</v>
      </c>
      <c r="W44" s="79">
        <f>B44*34</f>
        <v>268396</v>
      </c>
      <c r="X44" s="79">
        <f>C44*34</f>
        <v>143718</v>
      </c>
      <c r="Y44" s="80">
        <f>D44*34</f>
        <v>124678</v>
      </c>
      <c r="Z44" s="81">
        <v>69</v>
      </c>
      <c r="AA44" s="79">
        <f>F44*69</f>
        <v>629970</v>
      </c>
      <c r="AB44" s="79">
        <f>G44*69</f>
        <v>307395</v>
      </c>
      <c r="AC44" s="80">
        <f>H44*69</f>
        <v>322575</v>
      </c>
      <c r="AD44" s="82" t="s">
        <v>6</v>
      </c>
      <c r="AE44" s="83">
        <f>W45+AA45+AE45</f>
        <v>37306841</v>
      </c>
      <c r="AF44" s="83">
        <f>X45+AB45+AF45</f>
        <v>18027951</v>
      </c>
      <c r="AG44" s="83">
        <f>Y45+AC45+AG45</f>
        <v>19278890</v>
      </c>
    </row>
    <row r="45" spans="1:33" ht="24" customHeight="1" thickTop="1" thickBot="1">
      <c r="A45" s="84" t="s">
        <v>35</v>
      </c>
      <c r="B45" s="85">
        <v>88814</v>
      </c>
      <c r="C45" s="86">
        <v>45731</v>
      </c>
      <c r="D45" s="86">
        <v>43083</v>
      </c>
      <c r="E45" s="87" t="s">
        <v>37</v>
      </c>
      <c r="F45" s="86">
        <v>460059</v>
      </c>
      <c r="G45" s="86">
        <v>239018</v>
      </c>
      <c r="H45" s="86">
        <v>221041</v>
      </c>
      <c r="I45" s="88" t="s">
        <v>38</v>
      </c>
      <c r="J45" s="86">
        <v>226584</v>
      </c>
      <c r="K45" s="86">
        <v>101985</v>
      </c>
      <c r="L45" s="86">
        <v>124599</v>
      </c>
      <c r="M45" s="89"/>
      <c r="N45" s="89"/>
      <c r="O45" s="89"/>
      <c r="P45" s="89"/>
      <c r="Q45" s="89"/>
      <c r="R45" s="89"/>
      <c r="S45" s="89"/>
      <c r="T45" s="89"/>
      <c r="U45" s="89"/>
      <c r="V45" s="84" t="s">
        <v>35</v>
      </c>
      <c r="W45" s="90">
        <f>W3+W9+W15</f>
        <v>684819</v>
      </c>
      <c r="X45" s="90">
        <f>X3+X9+X15</f>
        <v>353491</v>
      </c>
      <c r="Y45" s="91">
        <f>Y3+Y9+Y15</f>
        <v>331328</v>
      </c>
      <c r="Z45" s="84" t="s">
        <v>37</v>
      </c>
      <c r="AA45" s="90">
        <f>W21+W27+W33+W39+AA3+AA9+AA15+AA21+AA27+AA33</f>
        <v>19159194</v>
      </c>
      <c r="AB45" s="90">
        <f>X21+X27+X33+X39+AB3+AB9+AB15+AB21+AB27+AB33</f>
        <v>9919013</v>
      </c>
      <c r="AC45" s="91">
        <f>Y21+Y27+Y33+Y39+AC3+AC9+AC15+AC21+AC27+AC33</f>
        <v>9240181</v>
      </c>
      <c r="AD45" s="92" t="s">
        <v>38</v>
      </c>
      <c r="AE45" s="90">
        <f>AA39+AE3+AE9+AE15+AE21+AE27+AE33</f>
        <v>17462828</v>
      </c>
      <c r="AF45" s="90">
        <f>AB39+AF3+AF9+AF15+AF21+AF27+AF33</f>
        <v>7755447</v>
      </c>
      <c r="AG45" s="90">
        <f>AC39+AG3+AG9+AG15+AG21+AG27+AG33</f>
        <v>9707381</v>
      </c>
    </row>
  </sheetData>
  <phoneticPr fontId="14"/>
  <pageMargins left="0.70866141732283472" right="0.39370078740157483" top="0.78740157480314965" bottom="0.78740157480314965" header="0.39370078740157483" footer="0.59055118110236227"/>
  <pageSetup paperSize="9" orientation="portrait" blackAndWhite="1" useFirstPageNumber="1" horizontalDpi="300" verticalDpi="300" r:id="rId1"/>
  <headerFooter alignWithMargins="0">
    <oddFooter>&amp;C&amp;"ＭＳ ゴシック,標準"&amp;10-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/>
  <sheetData/>
  <phoneticPr fontId="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/>
  <sheetData/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利用上の注意</vt:lpstr>
      <vt:lpstr>浜松市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H3257</dc:creator>
  <cp:lastModifiedBy>Windows ユーザー</cp:lastModifiedBy>
  <cp:lastPrinted>2024-10-27T23:45:25Z</cp:lastPrinted>
  <dcterms:created xsi:type="dcterms:W3CDTF">1998-01-13T09:06:33Z</dcterms:created>
  <dcterms:modified xsi:type="dcterms:W3CDTF">2026-04-21T01:24:27Z</dcterms:modified>
</cp:coreProperties>
</file>