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B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state="hidden" r:id="rId14"/>
    <sheet name="P8" sheetId="56" state="hidden" r:id="rId15"/>
    <sheet name="P9" sheetId="19" state="hidden" r:id="rId16"/>
    <sheet name="P10" sheetId="52" state="hidden" r:id="rId17"/>
  </sheets>
  <externalReferences>
    <externalReference r:id="rId18"/>
    <externalReference r:id="rId19"/>
    <externalReference r:id="rId20"/>
    <externalReference r:id="rId21"/>
    <externalReference r:id="rId22"/>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3">'P7'!$A$1:$Q$17</definedName>
    <definedName name="_xlnm.Print_Area" localSheetId="14">'P8'!$A$1:$M$24</definedName>
    <definedName name="_xlnm.Print_Area" localSheetId="15">'P9'!$A$1:$F$18</definedName>
    <definedName name="_xlnm.Print_Area" localSheetId="1">資料一覧!$A$1:$D$70</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T317" i="63" s="1"/>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T314" i="63" s="1"/>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T311"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T308"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T305" i="63" s="1"/>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T302" i="63" s="1"/>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T299"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T296"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T293" i="63" s="1"/>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T290" i="63" s="1"/>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T287"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T284"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T281" i="63" s="1"/>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T278" i="63" s="1"/>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T275"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T272"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T269" i="63" s="1"/>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T266" i="63" s="1"/>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T263"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T260"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T257" i="63" s="1"/>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T254" i="63" s="1"/>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T251"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T248"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T245" i="63" s="1"/>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T242" i="63" s="1"/>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T239"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T236"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T233" i="63" s="1"/>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T230" i="63" s="1"/>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T227"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T224"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T221" i="63" s="1"/>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T218" i="63" s="1"/>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T215"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T212"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T209" i="63" s="1"/>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T206" i="63" s="1"/>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T203"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T200"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T197" i="63" s="1"/>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T194" i="63" s="1"/>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T191"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T188"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T185" i="63" s="1"/>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T182" i="63" s="1"/>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T179"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T176"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T173" i="63" s="1"/>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T170" i="63" s="1"/>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T167"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T164"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T161"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T158" i="63" s="1"/>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T155"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T152"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T149"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T146" i="63" s="1"/>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T143"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T140"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T137"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T134" i="63" s="1"/>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T131"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T128"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T125"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T122" i="63" s="1"/>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T119"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T116"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T113"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T110" i="63" s="1"/>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T107"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T104"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T101"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T98" i="63" s="1"/>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T95"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T92"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T89"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T86" i="63" s="1"/>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T83"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T80"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T77"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T74" i="63" s="1"/>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T71"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T68" i="63" s="1"/>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T65"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T62" i="63" s="1"/>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T59"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T56" i="63" s="1"/>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T53"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T50" i="63" s="1"/>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T47"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T44" i="63" s="1"/>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T41"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T38" i="63" s="1"/>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T35"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T32" i="63" s="1"/>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T29"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T26" i="63" s="1"/>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T23" i="63"/>
  <c r="V15" i="63"/>
  <c r="J15" i="63"/>
  <c r="AQ14" i="63"/>
  <c r="AE14" i="63"/>
  <c r="Y14" i="63"/>
  <c r="F14" i="63"/>
  <c r="AP13" i="63"/>
  <c r="AN13" i="63"/>
  <c r="AE13" i="63"/>
  <c r="V13" i="63"/>
  <c r="P13" i="63"/>
  <c r="J13" i="63"/>
  <c r="E13" i="63"/>
  <c r="AR11" i="63"/>
  <c r="AR15" i="63" s="1"/>
  <c r="AP11" i="63"/>
  <c r="AP15" i="63" s="1"/>
  <c r="AN11" i="63"/>
  <c r="AO14" i="63" s="1"/>
  <c r="AH11" i="63"/>
  <c r="AH13" i="63" s="1"/>
  <c r="AB11" i="63"/>
  <c r="AB13" i="63" s="1"/>
  <c r="V11" i="63"/>
  <c r="Y13" i="63" s="1"/>
  <c r="P11" i="63"/>
  <c r="S14" i="63" s="1"/>
  <c r="J11" i="63"/>
  <c r="M14" i="63" s="1"/>
  <c r="G11" i="63"/>
  <c r="G15" i="63" s="1"/>
  <c r="E11"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T317" i="62" s="1"/>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T314"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T311"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T308" i="62" s="1"/>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T305" i="62" s="1"/>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T302"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T299"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T296" i="62" s="1"/>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T293" i="62" s="1"/>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T290"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T287"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T284" i="62" s="1"/>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T281" i="62" s="1"/>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T278"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T275"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T272" i="62" s="1"/>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T269" i="62" s="1"/>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T266"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T263"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T260" i="62" s="1"/>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T257" i="62" s="1"/>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T254"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T251"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T248" i="62" s="1"/>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T245" i="62" s="1"/>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T242"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T239"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T236" i="62" s="1"/>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T233" i="62" s="1"/>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T230"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T227"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T224" i="62" s="1"/>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T221" i="62" s="1"/>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T218" i="62" s="1"/>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T215"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T212" i="62" s="1"/>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T209" i="62" s="1"/>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T206" i="62" s="1"/>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T203"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T200" i="62" s="1"/>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T197" i="62" s="1"/>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T194" i="62" s="1"/>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T191"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T188" i="62" s="1"/>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T185" i="62" s="1"/>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T182" i="62" s="1"/>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T179"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T176" i="62" s="1"/>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T173" i="62" s="1"/>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T170" i="62" s="1"/>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T167"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T164" i="62" s="1"/>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T161" i="62" s="1"/>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T158" i="62" s="1"/>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T155"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T152" i="62" s="1"/>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T149" i="62" s="1"/>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T146" i="62" s="1"/>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T143"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T140" i="62" s="1"/>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T137" i="62" s="1"/>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T134" i="62" s="1"/>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T131"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T128" i="62" s="1"/>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T125" i="62" s="1"/>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T122" i="62" s="1"/>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T119"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T116" i="62" s="1"/>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T113" i="62" s="1"/>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T110" i="62" s="1"/>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T107"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T104" i="62" s="1"/>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T101" i="62" s="1"/>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T98" i="62" s="1"/>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T95"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T92" i="62" s="1"/>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T89" i="62" s="1"/>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T86" i="62" s="1"/>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T83"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T80" i="62" s="1"/>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T77" i="62" s="1"/>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T74" i="62" s="1"/>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T71"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T68"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T65" i="62" s="1"/>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T62" i="62" s="1"/>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T59"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T56" i="62" s="1"/>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T53" i="62" s="1"/>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T50"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T44" i="62" s="1"/>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T41"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T38" i="62" s="1"/>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T35" i="62" s="1"/>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T32" i="62" s="1"/>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T29" i="62" s="1"/>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T26" i="62" s="1"/>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T23" i="62" s="1"/>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N15" i="62"/>
  <c r="AB15" i="62"/>
  <c r="AN14" i="62"/>
  <c r="AE14" i="62"/>
  <c r="AB14" i="62"/>
  <c r="G14" i="62"/>
  <c r="AQ13" i="62"/>
  <c r="AP13" i="62"/>
  <c r="AO13" i="62"/>
  <c r="AN13" i="62"/>
  <c r="AE13" i="62"/>
  <c r="V13" i="62"/>
  <c r="S13" i="62"/>
  <c r="F13" i="62"/>
  <c r="E13"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T302" i="58" s="1"/>
  <c r="AX303" i="58"/>
  <c r="AY300" i="58"/>
  <c r="AX300" i="58"/>
  <c r="AY297" i="58"/>
  <c r="AX297" i="58"/>
  <c r="AY294" i="58"/>
  <c r="AT293" i="58" s="1"/>
  <c r="AX294" i="58"/>
  <c r="AY291" i="58"/>
  <c r="AT290" i="58" s="1"/>
  <c r="AX291" i="58"/>
  <c r="AY288" i="58"/>
  <c r="AX288" i="58"/>
  <c r="AY285" i="58"/>
  <c r="AX285" i="58"/>
  <c r="AY282" i="58"/>
  <c r="AT281" i="58" s="1"/>
  <c r="AX282" i="58"/>
  <c r="AY279" i="58"/>
  <c r="AX279" i="58"/>
  <c r="AY276" i="58"/>
  <c r="AX276" i="58"/>
  <c r="AY273" i="58"/>
  <c r="AX273" i="58"/>
  <c r="AY270" i="58"/>
  <c r="AX270" i="58"/>
  <c r="AY267" i="58"/>
  <c r="AT266" i="58" s="1"/>
  <c r="AX267" i="58"/>
  <c r="AY264" i="58"/>
  <c r="AX264" i="58"/>
  <c r="AY261" i="58"/>
  <c r="AX261" i="58"/>
  <c r="AY258" i="58"/>
  <c r="AT257" i="58" s="1"/>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T218" i="58" s="1"/>
  <c r="AX219" i="58"/>
  <c r="AY216" i="58"/>
  <c r="AX216" i="58"/>
  <c r="AY213" i="58"/>
  <c r="AX213" i="58"/>
  <c r="AY210" i="58"/>
  <c r="AX210" i="58"/>
  <c r="AY207" i="58"/>
  <c r="AX207" i="58"/>
  <c r="AY204" i="58"/>
  <c r="AX204" i="58"/>
  <c r="AY201" i="58"/>
  <c r="AX201" i="58"/>
  <c r="AY198" i="58"/>
  <c r="AX198" i="58"/>
  <c r="AY195" i="58"/>
  <c r="AT194" i="58" s="1"/>
  <c r="AX195" i="58"/>
  <c r="AY192" i="58"/>
  <c r="AX192" i="58"/>
  <c r="AY189" i="58"/>
  <c r="AX189" i="58"/>
  <c r="AY186" i="58"/>
  <c r="AX186" i="58"/>
  <c r="AY183" i="58"/>
  <c r="AX183" i="58"/>
  <c r="AY180" i="58"/>
  <c r="AX180" i="58"/>
  <c r="AY177" i="58"/>
  <c r="AX177" i="58"/>
  <c r="AY174" i="58"/>
  <c r="AX174" i="58"/>
  <c r="AT173" i="58" s="1"/>
  <c r="AY171" i="58"/>
  <c r="AX171" i="58"/>
  <c r="AY168" i="58"/>
  <c r="AX168" i="58"/>
  <c r="AY165" i="58"/>
  <c r="AX165" i="58"/>
  <c r="AY162" i="58"/>
  <c r="AX162" i="58"/>
  <c r="AY159" i="58"/>
  <c r="AX159" i="58"/>
  <c r="AT158" i="58" s="1"/>
  <c r="AY156" i="58"/>
  <c r="AX156" i="58"/>
  <c r="AT155" i="58" s="1"/>
  <c r="AY153" i="58"/>
  <c r="AX153" i="58"/>
  <c r="AT152" i="58" s="1"/>
  <c r="AY150" i="58"/>
  <c r="AX150" i="58"/>
  <c r="AT149" i="58" s="1"/>
  <c r="AY147" i="58"/>
  <c r="AT146" i="58" s="1"/>
  <c r="AX147" i="58"/>
  <c r="AY144" i="58"/>
  <c r="AX144" i="58"/>
  <c r="AY141" i="58"/>
  <c r="AX141" i="58"/>
  <c r="AY138" i="58"/>
  <c r="AX138" i="58"/>
  <c r="AY135" i="58"/>
  <c r="AX135" i="58"/>
  <c r="AY132" i="58"/>
  <c r="AX132" i="58"/>
  <c r="AY129" i="58"/>
  <c r="AX129" i="58"/>
  <c r="AY126" i="58"/>
  <c r="AX126" i="58"/>
  <c r="AY123" i="58"/>
  <c r="AT122" i="58" s="1"/>
  <c r="AX123" i="58"/>
  <c r="AY120" i="58"/>
  <c r="AX120" i="58"/>
  <c r="AY117" i="58"/>
  <c r="AX117" i="58"/>
  <c r="AY114" i="58"/>
  <c r="AX114" i="58"/>
  <c r="AY111" i="58"/>
  <c r="AX111" i="58"/>
  <c r="AY108" i="58"/>
  <c r="AX108" i="58"/>
  <c r="AY105" i="58"/>
  <c r="AX105" i="58"/>
  <c r="AY102" i="58"/>
  <c r="AX102" i="58"/>
  <c r="AY99" i="58"/>
  <c r="AT98" i="58" s="1"/>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T65" i="58" s="1"/>
  <c r="AY63" i="58"/>
  <c r="AX63" i="58"/>
  <c r="AY60" i="58"/>
  <c r="AX60" i="58"/>
  <c r="AT59" i="58" s="1"/>
  <c r="AY57" i="58"/>
  <c r="AT56" i="58" s="1"/>
  <c r="AX57" i="58"/>
  <c r="AY54" i="58"/>
  <c r="AX54" i="58"/>
  <c r="AY51" i="58"/>
  <c r="AX51" i="58"/>
  <c r="AY48" i="58"/>
  <c r="AX48" i="58"/>
  <c r="AY45" i="58"/>
  <c r="AX45" i="58"/>
  <c r="AY42" i="58"/>
  <c r="AX42" i="58"/>
  <c r="AY39" i="58"/>
  <c r="AX39" i="58"/>
  <c r="AT38" i="58" s="1"/>
  <c r="AY36" i="58"/>
  <c r="AX36" i="58"/>
  <c r="AT35" i="58" s="1"/>
  <c r="AY33" i="58"/>
  <c r="AX33" i="58"/>
  <c r="AT32" i="58" s="1"/>
  <c r="AY30" i="58"/>
  <c r="AX30" i="58"/>
  <c r="AT29" i="58" s="1"/>
  <c r="AY27" i="58"/>
  <c r="AX27" i="58"/>
  <c r="AT26" i="58" s="1"/>
  <c r="AY24" i="58"/>
  <c r="AX24" i="58"/>
  <c r="AT23" i="58" s="1"/>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H21" i="63" l="1"/>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R119" i="58" s="1"/>
  <c r="AN89" i="62"/>
  <c r="AV90" i="62" s="1"/>
  <c r="AR89" i="62" s="1"/>
  <c r="AN80" i="63"/>
  <c r="AV81" i="63" s="1"/>
  <c r="AR80" i="63" s="1"/>
  <c r="AN101" i="63"/>
  <c r="AV102" i="63" s="1"/>
  <c r="AN143" i="63"/>
  <c r="AV144" i="63" s="1"/>
  <c r="AN146" i="63"/>
  <c r="AV147" i="63" s="1"/>
  <c r="AN179" i="63"/>
  <c r="AV180" i="63" s="1"/>
  <c r="AN182" i="63"/>
  <c r="AV183" i="63" s="1"/>
  <c r="AN227" i="63"/>
  <c r="AV228" i="63" s="1"/>
  <c r="AR227" i="63" s="1"/>
  <c r="AN230" i="63"/>
  <c r="AV231" i="63" s="1"/>
  <c r="AN248" i="63"/>
  <c r="AV249" i="63" s="1"/>
  <c r="AR248" i="63" s="1"/>
  <c r="AN275" i="63"/>
  <c r="AV276" i="63" s="1"/>
  <c r="AN278" i="63"/>
  <c r="AV279" i="63" s="1"/>
  <c r="AN296" i="63"/>
  <c r="AV297" i="63" s="1"/>
  <c r="AN77" i="58"/>
  <c r="AV78" i="58" s="1"/>
  <c r="AN83" i="62"/>
  <c r="AV84" i="62" s="1"/>
  <c r="AN152" i="62"/>
  <c r="AV153" i="62" s="1"/>
  <c r="AR152" i="62" s="1"/>
  <c r="AN161" i="62"/>
  <c r="AV162" i="62" s="1"/>
  <c r="AR161" i="62" s="1"/>
  <c r="AN170" i="62"/>
  <c r="AV171" i="62" s="1"/>
  <c r="AR170" i="62" s="1"/>
  <c r="AN242" i="62"/>
  <c r="AV243" i="62" s="1"/>
  <c r="AN290" i="62"/>
  <c r="AV291"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N35" i="62"/>
  <c r="AV36" i="62" s="1"/>
  <c r="AN38" i="62"/>
  <c r="AV39"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R281"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R194" i="58" s="1"/>
  <c r="AN191" i="58"/>
  <c r="AV192" i="58" s="1"/>
  <c r="AN182" i="58"/>
  <c r="AV183" i="58" s="1"/>
  <c r="AN179" i="58"/>
  <c r="AV180" i="58" s="1"/>
  <c r="AN176" i="58"/>
  <c r="AV177" i="58" s="1"/>
  <c r="AN167" i="58"/>
  <c r="AV168" i="58" s="1"/>
  <c r="AN155" i="58"/>
  <c r="AV156" i="58" s="1"/>
  <c r="AN149" i="58"/>
  <c r="AV150" i="58" s="1"/>
  <c r="AR149" i="58" s="1"/>
  <c r="AN137" i="58"/>
  <c r="AV138" i="58" s="1"/>
  <c r="AN131" i="58"/>
  <c r="AV132" i="58" s="1"/>
  <c r="AN68" i="62"/>
  <c r="AV69" i="62" s="1"/>
  <c r="AN71" i="62"/>
  <c r="AV72" i="62" s="1"/>
  <c r="AN77" i="62"/>
  <c r="AV78" i="62" s="1"/>
  <c r="AN140" i="62"/>
  <c r="AV141" i="62" s="1"/>
  <c r="AN155" i="62"/>
  <c r="AV156"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N239" i="63"/>
  <c r="AV240" i="63" s="1"/>
  <c r="AN242" i="63"/>
  <c r="AV243" i="63" s="1"/>
  <c r="AR242" i="63" s="1"/>
  <c r="AN260" i="63"/>
  <c r="AV261" i="63" s="1"/>
  <c r="AN287" i="63"/>
  <c r="AV288" i="63" s="1"/>
  <c r="AR287" i="63" s="1"/>
  <c r="AN290" i="63"/>
  <c r="AV291" i="63" s="1"/>
  <c r="AN308" i="63"/>
  <c r="AV309" i="63" s="1"/>
  <c r="AN311" i="58"/>
  <c r="AV312" i="58" s="1"/>
  <c r="AN299" i="58"/>
  <c r="AV300" i="58" s="1"/>
  <c r="AN32" i="62"/>
  <c r="AV33" i="62" s="1"/>
  <c r="AN41" i="62"/>
  <c r="AV42" i="62" s="1"/>
  <c r="AR41" i="62" s="1"/>
  <c r="AN44" i="62"/>
  <c r="AV45" i="62" s="1"/>
  <c r="AR44" i="62" s="1"/>
  <c r="AN98" i="62"/>
  <c r="AV99" i="62" s="1"/>
  <c r="AN176" i="62"/>
  <c r="AV177" i="62" s="1"/>
  <c r="AN185" i="62"/>
  <c r="AV186" i="62" s="1"/>
  <c r="AN194" i="62"/>
  <c r="AV195" i="62" s="1"/>
  <c r="AN254" i="62"/>
  <c r="AV255" i="62" s="1"/>
  <c r="AN302" i="62"/>
  <c r="AV303"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N311" i="62"/>
  <c r="AV312" i="62" s="1"/>
  <c r="AN95" i="63"/>
  <c r="AV96" i="63" s="1"/>
  <c r="AN128" i="63"/>
  <c r="AV129" i="63" s="1"/>
  <c r="AN149" i="63"/>
  <c r="AV150" i="63" s="1"/>
  <c r="AN203" i="63"/>
  <c r="AV204" i="63" s="1"/>
  <c r="AR203" i="63" s="1"/>
  <c r="AN206" i="63"/>
  <c r="AV207" i="63" s="1"/>
  <c r="AR206" i="63" s="1"/>
  <c r="AN251" i="63"/>
  <c r="AV252" i="63" s="1"/>
  <c r="AR251" i="63" s="1"/>
  <c r="AN254" i="63"/>
  <c r="AV255" i="63" s="1"/>
  <c r="AN272" i="63"/>
  <c r="AV273" i="63" s="1"/>
  <c r="AN299" i="63"/>
  <c r="AV300" i="63" s="1"/>
  <c r="AN302" i="63"/>
  <c r="AV303" i="63" s="1"/>
  <c r="AN314" i="58"/>
  <c r="AV315" i="58" s="1"/>
  <c r="AN302" i="58"/>
  <c r="AV303" i="58" s="1"/>
  <c r="AR302" i="58" s="1"/>
  <c r="AN278" i="58"/>
  <c r="AV279" i="58" s="1"/>
  <c r="AR278" i="58" s="1"/>
  <c r="AN104" i="62"/>
  <c r="AV105" i="62" s="1"/>
  <c r="AR104" i="62" s="1"/>
  <c r="AN113" i="62"/>
  <c r="AV114" i="62" s="1"/>
  <c r="AN122" i="62"/>
  <c r="AV123" i="62" s="1"/>
  <c r="AN200" i="62"/>
  <c r="AV201" i="62" s="1"/>
  <c r="AN209" i="62"/>
  <c r="AV210" i="62" s="1"/>
  <c r="AN218" i="62"/>
  <c r="AV219" i="62" s="1"/>
  <c r="AN266" i="62"/>
  <c r="AV267" i="62" s="1"/>
  <c r="AR266" i="62" s="1"/>
  <c r="AN314" i="62"/>
  <c r="AV315" i="62" s="1"/>
  <c r="AR314"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N23" i="63"/>
  <c r="AV24" i="63" s="1"/>
  <c r="AN53" i="63"/>
  <c r="AV54" i="63" s="1"/>
  <c r="AN104" i="63"/>
  <c r="AV105" i="63" s="1"/>
  <c r="AN125" i="63"/>
  <c r="AV126"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N65" i="62"/>
  <c r="AV66" i="62" s="1"/>
  <c r="AN128" i="62"/>
  <c r="AV129" i="62" s="1"/>
  <c r="AN137" i="62"/>
  <c r="AV138" i="62" s="1"/>
  <c r="AN146" i="62"/>
  <c r="AV147" i="62" s="1"/>
  <c r="AN230" i="62"/>
  <c r="AV231" i="62" s="1"/>
  <c r="AR230" i="62" s="1"/>
  <c r="AN278" i="62"/>
  <c r="AV279" i="62" s="1"/>
  <c r="AN107" i="63"/>
  <c r="AV108" i="63" s="1"/>
  <c r="AR107" i="63" s="1"/>
  <c r="AN140" i="63"/>
  <c r="AV141" i="63" s="1"/>
  <c r="AN161" i="63"/>
  <c r="AV162" i="63" s="1"/>
  <c r="AN176" i="63"/>
  <c r="AV177" i="63" s="1"/>
  <c r="AN209" i="63"/>
  <c r="AV210"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302" i="63"/>
  <c r="AR290" i="63"/>
  <c r="AR278" i="63"/>
  <c r="AR266" i="63"/>
  <c r="AR254" i="63"/>
  <c r="AR230" i="63"/>
  <c r="AR218" i="63"/>
  <c r="AR194" i="63"/>
  <c r="AR182" i="63"/>
  <c r="AR146" i="63"/>
  <c r="AR134" i="63"/>
  <c r="AR317" i="63"/>
  <c r="AR281" i="63"/>
  <c r="AR269" i="63"/>
  <c r="AR233" i="63"/>
  <c r="AR221" i="63"/>
  <c r="AR209" i="63"/>
  <c r="AR197" i="63"/>
  <c r="AR161" i="63"/>
  <c r="AR149" i="63"/>
  <c r="AR125" i="63"/>
  <c r="AR101" i="63"/>
  <c r="AR89" i="63"/>
  <c r="AR77" i="63"/>
  <c r="AR53" i="63"/>
  <c r="AR308" i="63"/>
  <c r="AR296" i="63"/>
  <c r="AR284" i="63"/>
  <c r="AR272" i="63"/>
  <c r="AR260" i="63"/>
  <c r="AR236" i="63"/>
  <c r="AR224" i="63"/>
  <c r="AR212" i="63"/>
  <c r="AR200" i="63"/>
  <c r="AR176" i="63"/>
  <c r="AR164" i="63"/>
  <c r="AR152" i="63"/>
  <c r="AR140" i="63"/>
  <c r="AR128" i="63"/>
  <c r="AR104" i="63"/>
  <c r="AR311"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02" i="62"/>
  <c r="AR290" i="62"/>
  <c r="AR278" i="62"/>
  <c r="AR254" i="62"/>
  <c r="AR242" i="62"/>
  <c r="AR218" i="62"/>
  <c r="AR194" i="62"/>
  <c r="AR146" i="62"/>
  <c r="AR122" i="62"/>
  <c r="AR98" i="62"/>
  <c r="AR305" i="62"/>
  <c r="AR209" i="62"/>
  <c r="AR185" i="62"/>
  <c r="AR137" i="62"/>
  <c r="AR113" i="62"/>
  <c r="AR77" i="62"/>
  <c r="AR65" i="62"/>
  <c r="AR53" i="62"/>
  <c r="AR29" i="62"/>
  <c r="AR212" i="62"/>
  <c r="AR200" i="62"/>
  <c r="AR176" i="62"/>
  <c r="AR140" i="62"/>
  <c r="AR128" i="62"/>
  <c r="AR311" i="62"/>
  <c r="AR155" i="62"/>
  <c r="AR83"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R59" i="62"/>
  <c r="AR68" i="62"/>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R32"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78" i="58"/>
  <c r="AU279" i="58" s="1"/>
  <c r="AO242" i="58"/>
  <c r="AU243" i="58" s="1"/>
  <c r="AO206" i="58"/>
  <c r="AU207" i="58" s="1"/>
  <c r="AO182" i="58"/>
  <c r="AU183" i="58" s="1"/>
  <c r="AR317" i="58"/>
  <c r="AR305" i="58"/>
  <c r="AR269" i="58"/>
  <c r="AR257" i="58"/>
  <c r="AR245" i="58"/>
  <c r="AR233" i="58"/>
  <c r="AR209" i="58"/>
  <c r="AR173" i="58"/>
  <c r="AR137" i="58"/>
  <c r="AR125" i="58"/>
  <c r="AR89" i="58"/>
  <c r="AR77" i="58"/>
  <c r="AR65" i="58"/>
  <c r="AK21" i="58"/>
  <c r="AO317" i="58"/>
  <c r="AU318" i="58" s="1"/>
  <c r="AO305" i="58"/>
  <c r="AU306" i="58" s="1"/>
  <c r="AO269" i="58"/>
  <c r="AU270" i="58" s="1"/>
  <c r="AO257" i="58"/>
  <c r="AU258" i="58" s="1"/>
  <c r="AO245" i="58"/>
  <c r="AU246" i="58" s="1"/>
  <c r="AO233" i="58"/>
  <c r="AU234" i="58" s="1"/>
  <c r="AO209" i="58"/>
  <c r="AU210" i="58" s="1"/>
  <c r="AO173" i="58"/>
  <c r="AU174"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12" i="58" l="1"/>
  <c r="AU213" i="58" s="1"/>
  <c r="AO281" i="58"/>
  <c r="AU282" i="58" s="1"/>
  <c r="AO149" i="58"/>
  <c r="AU150" i="58" s="1"/>
  <c r="AO278" i="62"/>
  <c r="AU279" i="62" s="1"/>
  <c r="AO161" i="58"/>
  <c r="AU162" i="58" s="1"/>
  <c r="AO290" i="58"/>
  <c r="AU291"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<sst xmlns="http://schemas.openxmlformats.org/spreadsheetml/2006/main" count="4655" uniqueCount="779">
  <si>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</si>
  <si>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</si>
  <si>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</si>
  <si>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</si>
  <si>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</si>
  <si>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</si>
  <si>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</si>
  <si>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</si>
  <si>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</si>
  <si>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</si>
  <si>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</si>
  <si>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</si>
  <si>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</si>
  <si>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</si>
  <si>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</si>
  <si>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</si>
  <si>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</si>
  <si>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</si>
  <si>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</si>
  <si>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</si>
  <si>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</si>
  <si>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</si>
  <si>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</si>
  <si>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</si>
  <si>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</si>
  <si>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</si>
  <si>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</si>
  <si>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</si>
  <si>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</si>
  <si>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</si>
  <si>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</si>
  <si>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</si>
  <si>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</si>
  <si>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</si>
  <si>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</si>
  <si>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</si>
  <si>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</si>
  <si>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</si>
  <si>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</si>
  <si>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</si>
  <si>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</si>
  <si>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</si>
  <si>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</si>
  <si>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</si>
  <si>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</si>
  <si>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</si>
  <si>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</si>
  <si>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</si>
  <si>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</si>
  <si>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</si>
  <si>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</si>
  <si>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</si>
  <si>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</si>
  <si>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</si>
  <si>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</si>
  <si>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</si>
  <si>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</si>
  <si>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</si>
  <si>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</si>
  <si>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</si>
  <si>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</si>
  <si>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</si>
  <si>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</si>
  <si>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</si>
  <si>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</si>
  <si>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</si>
  <si>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</si>
  <si>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</si>
  <si>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</si>
  <si>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</si>
  <si>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</si>
  <si>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</si>
  <si>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</si>
  <si>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</si>
  <si>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</si>
  <si>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</si>
  <si>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</si>
  <si>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</si>
  <si>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</si>
  <si>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</si>
  <si>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</si>
  <si>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</si>
  <si>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</si>
  <si>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</si>
  <si>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</si>
  <si>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</si>
  <si>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</si>
  <si>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</si>
  <si>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</si>
  <si>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</si>
  <si>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</si>
  <si>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</si>
  <si>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</si>
  <si>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</si>
  <si>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</si>
  <si>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</si>
  <si>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</si>
  <si>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</si>
  <si>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</si>
  <si>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</si>
  <si>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</si>
  <si>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</si>
  <si>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</si>
  <si>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</si>
  <si>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</si>
  <si>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</si>
  <si>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</si>
  <si>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</si>
  <si>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</si>
  <si>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</si>
  <si>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</si>
  <si>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</si>
  <si>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</si>
  <si>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</si>
  <si>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</si>
  <si>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</si>
  <si>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</si>
  <si>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</si>
  <si>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</si>
  <si>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</si>
  <si>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</si>
  <si>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</si>
  <si>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</si>
  <si>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</si>
  <si>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</si>
  <si>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</si>
  <si>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</si>
  <si>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</si>
  <si>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</si>
  <si>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</si>
  <si>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</si>
  <si>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</si>
  <si>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</si>
  <si>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</si>
  <si>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</si>
  <si>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</si>
  <si>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</si>
  <si>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</si>
  <si>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</si>
  <si>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</si>
  <si>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</si>
  <si>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</si>
  <si>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</si>
  <si>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</si>
  <si>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</si>
  <si>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</si>
  <si>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</si>
  <si>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</si>
  <si>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</si>
  <si>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</si>
  <si>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</si>
  <si>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</si>
  <si>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</si>
  <si>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</si>
  <si>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</si>
  <si>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</si>
  <si>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</si>
  <si>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</si>
  <si>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</si>
  <si>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</si>
  <si>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</si>
  <si>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</si>
  <si>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</si>
  <si>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</si>
  <si>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</si>
  <si>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</si>
  <si>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</si>
  <si>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</si>
  <si>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</si>
  <si>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</si>
  <si>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</si>
  <si>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</si>
  <si>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</si>
  <si>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</si>
  <si>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</si>
  <si>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</si>
  <si>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</si>
  <si>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</si>
  <si>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</si>
  <si>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</si>
  <si>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</si>
  <si>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</si>
  <si>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</si>
  <si>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</si>
  <si>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</si>
  <si>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</si>
  <si>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</si>
  <si>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</si>
  <si>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</si>
  <si>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</si>
  <si>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</si>
  <si>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</si>
  <si>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</si>
  <si>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</si>
  <si>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</si>
  <si>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</si>
  <si>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</si>
  <si>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</si>
  <si>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</si>
  <si>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</si>
  <si>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</si>
  <si>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</si>
  <si>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</si>
  <si>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</si>
  <si>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</si>
  <si>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</si>
  <si>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</si>
  <si>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</si>
  <si>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</si>
  <si>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</si>
  <si>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</si>
  <si>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</si>
  <si>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</si>
  <si>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</si>
  <si>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</si>
  <si>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</si>
  <si>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</si>
  <si>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</si>
  <si>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</si>
  <si>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</si>
  <si>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</si>
  <si>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</si>
  <si>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</si>
  <si>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</si>
  <si>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</si>
  <si>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</si>
  <si>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</si>
  <si>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</si>
  <si>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</si>
  <si>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</si>
  <si>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</si>
  <si>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</si>
  <si>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</si>
  <si>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</si>
  <si>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</si>
  <si>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</si>
  <si>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</si>
  <si>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</si>
  <si>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</si>
  <si>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</si>
  <si>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</si>
  <si>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</si>
  <si>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</si>
  <si>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</si>
  <si>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</si>
  <si>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</si>
  <si>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</si>
  <si>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</si>
  <si>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</si>
  <si>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</si>
  <si>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</si>
  <si>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</si>
  <si>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</si>
  <si>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</si>
  <si>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</si>
  <si>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</si>
  <si>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</si>
  <si>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</si>
  <si>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</si>
  <si>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</si>
  <si>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</si>
  <si>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</si>
  <si>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</si>
  <si>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</si>
  <si>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</si>
  <si>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</si>
  <si>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</si>
  <si>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</si>
  <si>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</si>
  <si>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</si>
  <si>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</si>
  <si>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</si>
  <si>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</si>
  <si>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</si>
  <si>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</si>
  <si>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</si>
  <si>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</si>
  <si>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</si>
  <si>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</si>
  <si>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</si>
  <si>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</si>
  <si>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</si>
  <si>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</si>
  <si>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</si>
  <si>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</si>
  <si>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</si>
  <si>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</si>
  <si>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</si>
  <si>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</si>
  <si>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</si>
  <si>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</si>
  <si>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</si>
  <si>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</si>
  <si>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</si>
  <si>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</si>
  <si>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</si>
  <si>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</si>
  <si>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</si>
  <si>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</si>
  <si>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</si>
  <si>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</si>
  <si>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</si>
  <si>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</si>
  <si>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</si>
  <si>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</si>
  <si>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</si>
  <si>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</si>
  <si>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</si>
  <si>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</si>
  <si>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</si>
  <si>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</si>
  <si>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</si>
  <si>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</si>
  <si>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</si>
  <si>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</si>
  <si>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</si>
  <si>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</si>
  <si>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</si>
  <si>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</si>
  <si>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</si>
  <si>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</si>
  <si>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</si>
  <si>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</si>
  <si>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</si>
  <si>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</si>
  <si>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</si>
  <si>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</si>
  <si>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</si>
  <si>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</si>
  <si>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</si>
  <si>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【就労継続支援B型事業所用】</t>
    <rPh sb="1" eb="3">
      <t>シュウロウ</t>
    </rPh>
    <rPh sb="3" eb="5">
      <t>ケイゾク</t>
    </rPh>
    <rPh sb="5" eb="7">
      <t>シエン</t>
    </rPh>
    <rPh sb="8" eb="9">
      <t>ガタ</t>
    </rPh>
    <rPh sb="9" eb="11">
      <t>ジギョウ</t>
    </rPh>
    <rPh sb="11" eb="12">
      <t>ショ</t>
    </rPh>
    <rPh sb="12" eb="13">
      <t>ヨウ</t>
    </rPh>
    <phoneticPr fontId="2"/>
  </si>
  <si>
    <t>就労継続支援B型</t>
    <rPh sb="0" eb="2">
      <t>シュウロウ</t>
    </rPh>
    <rPh sb="2" eb="4">
      <t>ケイゾク</t>
    </rPh>
    <rPh sb="4" eb="6">
      <t>シエン</t>
    </rPh>
    <rPh sb="7" eb="8">
      <t>ガタ</t>
    </rPh>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</si>
  <si>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</si>
  <si>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</si>
  <si>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</si>
  <si>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</si>
  <si>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</si>
  <si>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</si>
  <si>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</si>
  <si>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</si>
  <si>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</si>
  <si>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</si>
  <si>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</si>
  <si>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</si>
  <si>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</si>
  <si>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</si>
  <si>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</si>
  <si>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</si>
  <si>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</si>
  <si>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</si>
  <si>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</si>
  <si>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</si>
  <si>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</si>
  <si>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</si>
  <si>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</si>
  <si>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</si>
  <si>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</si>
  <si>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</si>
  <si>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</si>
  <si>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</si>
  <si>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</si>
  <si>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</si>
  <si>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</si>
  <si>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</si>
  <si>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</si>
  <si>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</si>
  <si>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</si>
  <si>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</si>
  <si>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</si>
  <si>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</si>
  <si>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</si>
  <si>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</si>
  <si>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</si>
  <si>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</si>
  <si>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</si>
  <si>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</si>
  <si>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</si>
  <si>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</si>
  <si>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</si>
  <si>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</si>
  <si>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</si>
  <si>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</si>
  <si>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</si>
  <si>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</si>
  <si>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</si>
  <si>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</si>
  <si>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</si>
  <si>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</si>
  <si>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</si>
  <si>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</si>
  <si>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</si>
  <si>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</si>
  <si>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</si>
  <si>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</si>
  <si>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</si>
  <si>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</si>
  <si>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</si>
  <si>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</si>
  <si>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</si>
  <si>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</si>
  <si>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</si>
  <si>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</si>
  <si>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</si>
  <si>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</si>
  <si>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</si>
  <si>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</si>
  <si>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</si>
  <si>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</si>
  <si>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</si>
  <si>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</si>
  <si>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</si>
  <si>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</si>
  <si>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</si>
  <si>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</si>
  <si>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</si>
  <si>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</si>
  <si>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</si>
  <si>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</si>
  <si>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</si>
  <si>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</si>
  <si>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</si>
  <si>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</si>
  <si>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</si>
  <si>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</si>
  <si>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</si>
  <si>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</si>
  <si>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</si>
  <si>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</si>
  <si>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サービスの提供の記録(実績記録票、その他ケース記録、日報、送迎記録など）</t>
    <rPh sb="11" eb="13">
      <t>ジッセキ</t>
    </rPh>
    <rPh sb="13" eb="15">
      <t>キロク</t>
    </rPh>
    <rPh sb="15" eb="16">
      <t>ヒョウ</t>
    </rPh>
    <rPh sb="19" eb="20">
      <t>タ</t>
    </rPh>
    <rPh sb="23" eb="25">
      <t>キロク</t>
    </rPh>
    <rPh sb="26" eb="28">
      <t>ニッポウ</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</si>
  <si>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</si>
  <si>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</si>
  <si>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</si>
  <si>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</si>
  <si>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</si>
  <si>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</si>
  <si>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</si>
  <si>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</si>
  <si>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</si>
  <si>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</si>
  <si>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</si>
  <si>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</si>
  <si>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</si>
  <si>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</si>
  <si>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</si>
  <si>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</si>
  <si>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</si>
  <si>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</si>
  <si>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</si>
  <si>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</si>
  <si>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</si>
  <si>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</si>
  <si>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</si>
  <si>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</si>
  <si>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</si>
  <si>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</si>
  <si>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</si>
  <si>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</si>
  <si>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</si>
  <si>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</si>
  <si>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</si>
  <si>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</si>
  <si>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</si>
  <si>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</si>
  <si>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</si>
  <si>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</si>
  <si>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</si>
  <si>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</si>
  <si>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</si>
  <si>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</si>
  <si>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</si>
  <si>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</si>
  <si>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</si>
  <si>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就労継続支援B型</t>
    <phoneticPr fontId="2"/>
  </si>
  <si>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</si>
  <si>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</si>
  <si>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</si>
  <si>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</si>
  <si>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</si>
  <si>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</si>
  <si>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</si>
  <si>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</si>
  <si>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</si>
  <si>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</si>
  <si>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</si>
  <si>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</si>
  <si>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</si>
  <si>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</si>
  <si>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</si>
  <si>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</si>
  <si>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</si>
  <si>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</si>
  <si>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</si>
  <si>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</si>
  <si>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</si>
  <si>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</si>
  <si>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</si>
  <si>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</si>
  <si>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</si>
  <si>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</si>
  <si>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</si>
  <si>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</si>
  <si>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</si>
  <si>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</si>
  <si>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</si>
  <si>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</si>
  <si>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</si>
  <si>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</si>
  <si>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</si>
  <si>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</si>
  <si>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</si>
  <si>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</si>
  <si>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</si>
  <si>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</si>
  <si>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</si>
  <si>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</si>
  <si>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</si>
  <si>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</si>
  <si>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</si>
  <si>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</si>
  <si>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</si>
  <si>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</si>
  <si>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</si>
  <si>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</si>
  <si>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</si>
  <si>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</si>
  <si>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</si>
  <si>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</si>
  <si>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</si>
  <si>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</si>
  <si>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</si>
  <si>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</si>
  <si>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</si>
  <si>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</si>
  <si>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</si>
  <si>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</si>
  <si>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</si>
  <si>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</si>
  <si>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</si>
  <si>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</si>
  <si>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</si>
  <si>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</si>
  <si>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</si>
  <si>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</si>
  <si>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</si>
  <si>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</si>
  <si>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</si>
  <si>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</si>
  <si>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</si>
  <si>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</si>
  <si>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</si>
  <si>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</si>
  <si>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</si>
  <si>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</si>
  <si>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</si>
  <si>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</si>
  <si>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</si>
  <si>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</si>
  <si>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</si>
  <si>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</si>
  <si>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</si>
  <si>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</si>
  <si>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</si>
  <si>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</si>
  <si>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</si>
  <si>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</si>
  <si>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</si>
  <si>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</si>
  <si>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</si>
  <si>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</si>
  <si>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</si>
  <si>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</si>
  <si>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</si>
  <si>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</si>
  <si>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</si>
  <si>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</si>
  <si>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</si>
  <si>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</si>
  <si>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</si>
  <si>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</si>
  <si>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</si>
  <si>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</si>
  <si>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</si>
  <si>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</si>
  <si>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</si>
  <si>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</si>
  <si>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</si>
  <si>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</si>
  <si>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</si>
  <si>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</si>
  <si>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</si>
  <si>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</si>
  <si>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</si>
  <si>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</si>
  <si>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</si>
  <si>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</si>
  <si>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</si>
  <si>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</si>
  <si>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</si>
  <si>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</si>
  <si>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</si>
  <si>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</si>
  <si>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</si>
  <si>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</si>
  <si>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</si>
  <si>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</si>
  <si>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</si>
  <si>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</si>
  <si>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</si>
  <si>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</si>
  <si>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</si>
  <si>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</si>
  <si>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</si>
  <si>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</si>
  <si>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</si>
  <si>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</si>
  <si>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</si>
  <si>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</si>
  <si>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</si>
  <si>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</si>
  <si>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</si>
  <si>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</si>
  <si>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</si>
  <si>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</si>
  <si>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</si>
  <si>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</si>
  <si>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</si>
  <si>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</si>
  <si>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</si>
  <si>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</si>
  <si>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</si>
  <si>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</si>
  <si>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</si>
  <si>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</si>
  <si>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</si>
  <si>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</si>
  <si>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</si>
  <si>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</si>
  <si>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</si>
  <si>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</si>
  <si>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</si>
  <si>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</si>
  <si>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</si>
  <si>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</si>
  <si>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</si>
  <si>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</si>
  <si>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</si>
  <si>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</si>
  <si>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</si>
  <si>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</si>
  <si>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</si>
  <si>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</si>
  <si>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</si>
  <si>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</si>
  <si>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</si>
  <si>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</si>
  <si>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</si>
  <si>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</si>
  <si>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</si>
  <si>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</si>
  <si>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</si>
  <si>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</si>
  <si>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</si>
  <si>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</si>
  <si>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</si>
  <si>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</si>
  <si>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</si>
  <si>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</si>
  <si>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</si>
  <si>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</si>
  <si>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</si>
  <si>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</si>
  <si>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</si>
  <si>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</si>
  <si>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</si>
  <si>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</si>
  <si>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</si>
  <si>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</si>
  <si>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</si>
  <si>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</si>
  <si>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</si>
  <si>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</si>
  <si>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</si>
  <si>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</si>
  <si>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</si>
  <si>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</si>
  <si>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</si>
  <si>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</si>
  <si>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</si>
  <si>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</si>
  <si>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</si>
  <si>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</si>
  <si>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</si>
  <si>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</si>
  <si>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</si>
  <si>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</si>
  <si>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</si>
  <si>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</si>
  <si>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</si>
  <si>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</si>
  <si>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</si>
  <si>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</si>
  <si>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</si>
  <si>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</si>
  <si>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</si>
  <si>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</si>
  <si>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</si>
  <si>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</si>
  <si>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</si>
  <si>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</si>
  <si>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</si>
  <si>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</si>
  <si>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</si>
  <si>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</si>
  <si>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</si>
  <si>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</si>
  <si>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</si>
  <si>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</si>
  <si>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</si>
  <si>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</si>
  <si>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</si>
  <si>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</si>
  <si>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</si>
  <si>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</si>
  <si>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</si>
  <si>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</si>
  <si>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</si>
  <si>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</si>
  <si>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</si>
  <si>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</si>
  <si>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</si>
  <si>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</si>
  <si>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</si>
  <si>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</si>
  <si>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</si>
  <si>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</si>
  <si>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</si>
  <si>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</si>
  <si>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</si>
  <si>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</si>
  <si>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</si>
  <si>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</si>
  <si>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</si>
  <si>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</si>
  <si>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</si>
  <si>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</si>
  <si>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</si>
  <si>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</si>
  <si>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</si>
  <si>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</si>
  <si>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</si>
  <si>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</si>
  <si>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</si>
  <si>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</si>
  <si>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</si>
  <si>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</si>
  <si>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</si>
  <si>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</si>
  <si>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</si>
  <si>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</si>
  <si>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</si>
  <si>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</si>
  <si>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</si>
  <si>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</si>
  <si>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</si>
  <si>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</si>
  <si>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</si>
  <si>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</si>
  <si>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</si>
  <si>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</si>
  <si>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</si>
  <si>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</si>
  <si>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</si>
  <si>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</si>
  <si>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</si>
  <si>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</si>
  <si>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</si>
  <si>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≪要提出≫シフト記号表（勤務時間帯）</t>
    <phoneticPr fontId="76"/>
  </si>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</sst>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0">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28">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44" fillId="0" borderId="19" xfId="0" applyFont="1" applyFill="1" applyBorder="1" applyAlignment="1">
      <alignment horizontal="right" vertical="center" wrapText="1"/>
    </xf>
    <xf numFmtId="0" fontId="44" fillId="0" borderId="20" xfId="0" applyFont="1" applyFill="1" applyBorder="1" applyAlignment="1">
      <alignment vertical="center" wrapText="1"/>
    </xf>
    <xf numFmtId="0" fontId="44" fillId="24" borderId="22" xfId="0" applyFont="1" applyFill="1" applyBorder="1" applyAlignment="1">
      <alignment vertical="center" wrapText="1"/>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34" fillId="32" borderId="10" xfId="0" applyFont="1" applyFill="1" applyBorder="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horizontal="left" vertical="center"/>
    </xf>
    <xf numFmtId="0" fontId="45" fillId="28" borderId="0" xfId="46" applyFont="1" applyFill="1" applyAlignment="1">
      <alignment vertical="center"/>
    </xf>
    <xf numFmtId="0" fontId="45" fillId="28" borderId="0" xfId="46" applyFont="1" applyFill="1" applyAlignment="1">
      <alignment horizontal="right" vertical="center"/>
    </xf>
    <xf numFmtId="0" fontId="36" fillId="28" borderId="0" xfId="46" applyFont="1" applyFill="1" applyAlignment="1">
      <alignment vertical="center"/>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4" fillId="24" borderId="29" xfId="0" applyFont="1" applyFill="1" applyBorder="1" applyAlignment="1">
      <alignment horizontal="center" vertical="center"/>
    </xf>
    <xf numFmtId="0" fontId="34"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4"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91" fillId="0" borderId="10" xfId="49" applyFont="1" applyBorder="1" applyAlignment="1">
      <alignment horizontal="center" vertical="center"/>
    </xf>
    <xf numFmtId="0" fontId="51" fillId="0" borderId="10" xfId="49" applyFont="1" applyBorder="1">
      <alignment vertical="center"/>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46" xfId="49" applyFont="1" applyBorder="1" applyAlignment="1">
      <alignment horizontal="center" vertical="center"/>
    </xf>
    <xf numFmtId="0" fontId="91" fillId="0" borderId="26" xfId="49" applyFont="1" applyBorder="1" applyAlignment="1">
      <alignment horizontal="center" vertical="center"/>
    </xf>
    <xf numFmtId="0" fontId="91" fillId="0" borderId="27"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28" xfId="49" applyFont="1" applyBorder="1" applyAlignment="1">
      <alignment horizontal="center" vertical="center"/>
    </xf>
    <xf numFmtId="0" fontId="91" fillId="0" borderId="11" xfId="49" applyFont="1" applyBorder="1" applyAlignment="1">
      <alignment horizontal="center" vertical="center"/>
    </xf>
    <xf numFmtId="0" fontId="91" fillId="0" borderId="57"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0" xfId="52" applyFont="1" applyBorder="1" applyAlignment="1">
      <alignment horizontal="center" vertical="center" wrapTex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65" xfId="0" applyFont="1" applyFill="1" applyBorder="1" applyAlignment="1" applyProtection="1">
      <alignment horizontal="center" vertical="center"/>
    </xf>
    <xf numFmtId="0" fontId="27" fillId="0" borderId="67" xfId="0" applyFont="1" applyFill="1" applyBorder="1" applyAlignment="1" applyProtection="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4" borderId="40" xfId="0" applyFont="1" applyFill="1" applyBorder="1" applyAlignment="1" applyProtection="1">
      <alignment horizontal="center" vertical="center"/>
    </xf>
    <xf numFmtId="0" fontId="27" fillId="24" borderId="5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27" fillId="24" borderId="43" xfId="0" applyFont="1" applyFill="1" applyBorder="1" applyAlignment="1" applyProtection="1">
      <alignment horizontal="center"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0" borderId="40"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13" xfId="0" applyFont="1" applyFill="1" applyBorder="1" applyAlignment="1" applyProtection="1">
      <alignment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55" xfId="0" applyFont="1" applyFill="1" applyBorder="1" applyAlignment="1" applyProtection="1">
      <alignment horizontal="center"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27" borderId="35"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3" fillId="28" borderId="40" xfId="46" applyFont="1" applyFill="1" applyBorder="1" applyAlignment="1">
      <alignment horizontal="center" vertical="center"/>
    </xf>
    <xf numFmtId="0" fontId="33" fillId="28" borderId="41" xfId="46" applyFont="1" applyFill="1" applyBorder="1" applyAlignment="1">
      <alignment horizontal="center"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50"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0" fontId="46" fillId="24" borderId="0" xfId="49" applyFont="1" applyFill="1" applyAlignment="1">
      <alignment horizontal="left"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24" borderId="40"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80" xfId="49" applyFont="1" applyFill="1" applyBorder="1" applyAlignment="1">
      <alignment horizontal="center"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6" fillId="24" borderId="1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23" xfId="49" applyFont="1" applyFill="1" applyBorder="1" applyAlignment="1">
      <alignment horizontal="center" vertical="center"/>
    </xf>
    <xf numFmtId="0" fontId="6" fillId="24"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82" xfId="49"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185" fontId="46" fillId="24" borderId="15" xfId="49" applyNumberFormat="1" applyFont="1" applyFill="1" applyBorder="1" applyAlignment="1">
      <alignment horizontal="center"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37" xfId="49" applyFont="1" applyFill="1" applyBorder="1" applyAlignment="1">
      <alignment vertical="center"/>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9" xfId="49" applyFont="1" applyFill="1" applyBorder="1" applyAlignment="1">
      <alignment horizontal="center" vertical="center"/>
    </xf>
    <xf numFmtId="0" fontId="6" fillId="24" borderId="51" xfId="49" applyFont="1" applyFill="1" applyBorder="1" applyAlignment="1">
      <alignment horizontal="center" vertical="center"/>
    </xf>
    <xf numFmtId="0" fontId="6" fillId="24" borderId="67" xfId="49" applyFont="1" applyFill="1" applyBorder="1" applyAlignment="1">
      <alignment horizontal="center" vertical="center"/>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4" fillId="32" borderId="10" xfId="0" applyFont="1"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7"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0" borderId="3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64" fillId="0" borderId="46"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89" xfId="0" applyFont="1" applyFill="1" applyBorder="1" applyAlignment="1">
      <alignment horizontal="left" vertical="top"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16" xfId="0" applyFont="1" applyBorder="1" applyAlignment="1">
      <alignment horizontal="center" vertical="center" textRotation="255"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4" fillId="0" borderId="94"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5"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2">
          <cell r="C2" t="str">
            <v>氏　名</v>
          </cell>
          <cell r="D2" t="str">
            <v>勤務時間数合計</v>
          </cell>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row>
        <row r="12">
          <cell r="A12" t="str">
            <v>共同生活援助・介護サービス包括型</v>
          </cell>
          <cell r="B12" t="str">
            <v>管理者</v>
          </cell>
          <cell r="C12" t="str">
            <v>サービス管理責任者</v>
          </cell>
          <cell r="D12" t="str">
            <v>世話人</v>
          </cell>
          <cell r="E12" t="str">
            <v>生活支援員</v>
          </cell>
          <cell r="F12" t="str">
            <v>その他職員</v>
          </cell>
        </row>
        <row r="13">
          <cell r="A13" t="str">
            <v>共同生活援助・外部サービス利用型</v>
          </cell>
          <cell r="B13" t="str">
            <v>管理者</v>
          </cell>
          <cell r="C13" t="str">
            <v>サービス管理責任者</v>
          </cell>
          <cell r="D13" t="str">
            <v>世話人</v>
          </cell>
          <cell r="E13" t="str">
            <v>その他職員</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row>
        <row r="17">
          <cell r="A17" t="str">
            <v>生活訓練</v>
          </cell>
          <cell r="B17" t="str">
            <v>管理者</v>
          </cell>
          <cell r="C17" t="str">
            <v>サービス管理責任者</v>
          </cell>
          <cell r="D17" t="str">
            <v>地域移行支援員</v>
          </cell>
          <cell r="E17" t="str">
            <v>生活支援員</v>
          </cell>
          <cell r="F17" t="str">
            <v>その他職員</v>
          </cell>
        </row>
        <row r="18">
          <cell r="A18" t="str">
            <v>就労選択支援</v>
          </cell>
          <cell r="B18" t="str">
            <v>管理者</v>
          </cell>
          <cell r="C18" t="str">
            <v>就労選択支援員</v>
          </cell>
          <cell r="D18" t="str">
            <v>その他職員</v>
          </cell>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row>
        <row r="20">
          <cell r="A20" t="str">
            <v>認定指定就労移行支援</v>
          </cell>
          <cell r="B20" t="str">
            <v>管理者</v>
          </cell>
          <cell r="C20" t="str">
            <v>サービス管理責任者</v>
          </cell>
          <cell r="D20" t="str">
            <v>職業指導員</v>
          </cell>
          <cell r="E20" t="str">
            <v>生活支援員</v>
          </cell>
          <cell r="F20" t="str">
            <v>その他職員</v>
          </cell>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row>
        <row r="23">
          <cell r="A23" t="str">
            <v>一般相談支援事業</v>
          </cell>
          <cell r="B23" t="str">
            <v>管理者</v>
          </cell>
          <cell r="C23" t="str">
            <v>相談支援専門員</v>
          </cell>
          <cell r="D23" t="str">
            <v>その他職員</v>
          </cell>
        </row>
        <row r="24">
          <cell r="A24" t="str">
            <v>就労定着支援</v>
          </cell>
          <cell r="B24" t="str">
            <v>管理者</v>
          </cell>
          <cell r="C24" t="str">
            <v>サービス管理責任者</v>
          </cell>
          <cell r="D24" t="str">
            <v>就労定着支援員</v>
          </cell>
          <cell r="E24" t="str">
            <v>その他職員</v>
          </cell>
        </row>
        <row r="25">
          <cell r="A25" t="str">
            <v>自立生活援助</v>
          </cell>
          <cell r="B25" t="str">
            <v>管理者</v>
          </cell>
          <cell r="C25" t="str">
            <v>サービス管理責任者</v>
          </cell>
          <cell r="D25" t="str">
            <v>地域生活支援員</v>
          </cell>
          <cell r="E25" t="str">
            <v>その他職員</v>
          </cell>
        </row>
        <row r="26">
          <cell r="A26" t="str">
            <v>特定相談支援・障害児相談支援</v>
          </cell>
          <cell r="B26" t="str">
            <v>管理者</v>
          </cell>
          <cell r="C26" t="str">
            <v>相談支援専門員</v>
          </cell>
          <cell r="D26" t="str">
            <v>相談支援員</v>
          </cell>
          <cell r="E26" t="str">
            <v>その他職員</v>
          </cell>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row>
        <row r="30">
          <cell r="A30" t="str">
            <v>保育所等訪問支援</v>
          </cell>
          <cell r="B30" t="str">
            <v>管理者</v>
          </cell>
          <cell r="C30" t="str">
            <v>児童発達支援管理責任者</v>
          </cell>
          <cell r="D30" t="str">
            <v>訪問支援員</v>
          </cell>
        </row>
        <row r="31">
          <cell r="A31" t="str">
            <v>居宅訪問型児童発達支援</v>
          </cell>
          <cell r="B31" t="str">
            <v>管理者</v>
          </cell>
          <cell r="C31" t="str">
            <v>児童発達支援管理責任者</v>
          </cell>
          <cell r="D31" t="str">
            <v>訪問支援員</v>
          </cell>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60" customWidth="1"/>
    <col min="2" max="2" width="9" style="560"/>
    <col min="3" max="3" width="23.5" style="560" bestFit="1" customWidth="1"/>
    <col min="4" max="4" width="15.125" style="560" bestFit="1" customWidth="1"/>
    <col min="5" max="5" width="11" style="560" bestFit="1" customWidth="1"/>
    <col min="6" max="6" width="17.25" style="560" bestFit="1" customWidth="1"/>
    <col min="7" max="7" width="13" style="560" bestFit="1" customWidth="1"/>
    <col min="8" max="9" width="17.25" style="560" bestFit="1" customWidth="1"/>
    <col min="10" max="10" width="13" style="560" bestFit="1" customWidth="1"/>
    <col min="11" max="11" width="11" style="560" bestFit="1" customWidth="1"/>
    <col min="12" max="12" width="11.125" style="560" bestFit="1" customWidth="1"/>
    <col min="13" max="16384" width="9" style="560"/>
  </cols>
  <sheetData>
    <row r="1" spans="1:12">
      <c r="A1" s="557" t="s">
        <v>669</v>
      </c>
      <c r="B1" s="558" t="s">
        <v>671</v>
      </c>
      <c r="C1" s="558" t="s">
        <v>672</v>
      </c>
      <c r="D1" s="558" t="s">
        <v>673</v>
      </c>
      <c r="E1" s="558" t="s">
        <v>674</v>
      </c>
      <c r="F1" s="558" t="s">
        <v>675</v>
      </c>
      <c r="G1" s="558" t="s">
        <v>676</v>
      </c>
      <c r="H1" s="558" t="s">
        <v>677</v>
      </c>
      <c r="I1" s="558" t="s">
        <v>678</v>
      </c>
      <c r="J1" s="558" t="s">
        <v>679</v>
      </c>
      <c r="K1" s="558" t="s">
        <v>680</v>
      </c>
      <c r="L1" s="559"/>
    </row>
    <row r="2" spans="1:12">
      <c r="A2" s="561" t="s">
        <v>681</v>
      </c>
      <c r="B2" s="562" t="s">
        <v>682</v>
      </c>
      <c r="C2" s="562" t="s">
        <v>683</v>
      </c>
      <c r="D2" s="562" t="s">
        <v>684</v>
      </c>
      <c r="E2" s="563"/>
      <c r="F2" s="563"/>
      <c r="G2" s="563"/>
      <c r="H2" s="563"/>
      <c r="I2" s="563"/>
      <c r="J2" s="563"/>
      <c r="K2" s="563"/>
      <c r="L2" s="563"/>
    </row>
    <row r="3" spans="1:12">
      <c r="A3" s="561" t="s">
        <v>685</v>
      </c>
      <c r="B3" s="562" t="s">
        <v>682</v>
      </c>
      <c r="C3" s="562" t="s">
        <v>683</v>
      </c>
      <c r="D3" s="562" t="s">
        <v>684</v>
      </c>
      <c r="E3" s="562"/>
      <c r="F3" s="562"/>
      <c r="G3" s="562"/>
      <c r="H3" s="562"/>
      <c r="I3" s="562"/>
      <c r="J3" s="562"/>
      <c r="K3" s="562"/>
      <c r="L3" s="564"/>
    </row>
    <row r="4" spans="1:12">
      <c r="A4" s="561" t="s">
        <v>686</v>
      </c>
      <c r="B4" s="562" t="s">
        <v>682</v>
      </c>
      <c r="C4" s="562" t="s">
        <v>683</v>
      </c>
      <c r="D4" s="562" t="s">
        <v>684</v>
      </c>
      <c r="E4" s="562"/>
      <c r="F4" s="562"/>
      <c r="G4" s="562"/>
      <c r="H4" s="562"/>
      <c r="I4" s="562"/>
      <c r="J4" s="562"/>
      <c r="K4" s="562"/>
      <c r="L4" s="564"/>
    </row>
    <row r="5" spans="1:12">
      <c r="A5" s="561" t="s">
        <v>687</v>
      </c>
      <c r="B5" s="562" t="s">
        <v>682</v>
      </c>
      <c r="C5" s="562" t="s">
        <v>683</v>
      </c>
      <c r="D5" s="562" t="s">
        <v>684</v>
      </c>
      <c r="E5" s="562"/>
      <c r="F5" s="562"/>
      <c r="G5" s="562"/>
      <c r="H5" s="562"/>
      <c r="I5" s="562"/>
      <c r="J5" s="562"/>
      <c r="K5" s="562"/>
      <c r="L5" s="564"/>
    </row>
    <row r="6" spans="1:12">
      <c r="A6" s="565" t="s">
        <v>116</v>
      </c>
      <c r="B6" s="566" t="s">
        <v>682</v>
      </c>
      <c r="C6" s="566" t="s">
        <v>688</v>
      </c>
      <c r="D6" s="566" t="s">
        <v>689</v>
      </c>
      <c r="E6" s="566" t="s">
        <v>690</v>
      </c>
      <c r="F6" s="566" t="s">
        <v>691</v>
      </c>
      <c r="G6" s="566"/>
      <c r="H6" s="566"/>
      <c r="I6" s="566"/>
      <c r="J6" s="566"/>
      <c r="K6" s="562"/>
      <c r="L6" s="564"/>
    </row>
    <row r="7" spans="1:12">
      <c r="A7" s="565" t="s">
        <v>117</v>
      </c>
      <c r="B7" s="566" t="s">
        <v>682</v>
      </c>
      <c r="C7" s="566" t="s">
        <v>688</v>
      </c>
      <c r="D7" s="566" t="s">
        <v>689</v>
      </c>
      <c r="E7" s="566" t="s">
        <v>690</v>
      </c>
      <c r="F7" s="566" t="s">
        <v>692</v>
      </c>
      <c r="G7" s="566" t="s">
        <v>693</v>
      </c>
      <c r="H7" s="566" t="s">
        <v>694</v>
      </c>
      <c r="I7" s="566" t="s">
        <v>691</v>
      </c>
      <c r="J7" s="566" t="s">
        <v>695</v>
      </c>
      <c r="K7" s="562"/>
      <c r="L7" s="564"/>
    </row>
    <row r="8" spans="1:12">
      <c r="A8" s="565" t="s">
        <v>696</v>
      </c>
      <c r="B8" s="566" t="s">
        <v>682</v>
      </c>
      <c r="C8" s="566" t="s">
        <v>691</v>
      </c>
      <c r="D8" s="566"/>
      <c r="E8" s="566"/>
      <c r="F8" s="566"/>
      <c r="G8" s="566"/>
      <c r="H8" s="566"/>
      <c r="I8" s="566"/>
      <c r="J8" s="566"/>
      <c r="K8" s="562"/>
      <c r="L8" s="564"/>
    </row>
    <row r="9" spans="1:12">
      <c r="A9" s="565" t="s">
        <v>697</v>
      </c>
      <c r="B9" s="566" t="s">
        <v>682</v>
      </c>
      <c r="C9" s="566" t="s">
        <v>691</v>
      </c>
      <c r="D9" s="566"/>
      <c r="E9" s="566"/>
      <c r="F9" s="566"/>
      <c r="G9" s="566"/>
      <c r="H9" s="566"/>
      <c r="I9" s="566"/>
      <c r="J9" s="566"/>
      <c r="K9" s="562"/>
      <c r="L9" s="564"/>
    </row>
    <row r="10" spans="1:12">
      <c r="A10" s="565" t="s">
        <v>698</v>
      </c>
      <c r="B10" s="566" t="s">
        <v>682</v>
      </c>
      <c r="C10" s="566" t="s">
        <v>691</v>
      </c>
      <c r="D10" s="566"/>
      <c r="E10" s="566"/>
      <c r="F10" s="566"/>
      <c r="G10" s="566"/>
      <c r="H10" s="566"/>
      <c r="I10" s="566"/>
      <c r="J10" s="566"/>
      <c r="K10" s="562"/>
      <c r="L10" s="564"/>
    </row>
    <row r="11" spans="1:12">
      <c r="A11" s="565" t="s">
        <v>699</v>
      </c>
      <c r="B11" s="566" t="s">
        <v>682</v>
      </c>
      <c r="C11" s="566" t="s">
        <v>683</v>
      </c>
      <c r="D11" s="566"/>
      <c r="E11" s="566"/>
      <c r="F11" s="566"/>
      <c r="G11" s="566"/>
      <c r="H11" s="566"/>
      <c r="I11" s="566"/>
      <c r="J11" s="566"/>
      <c r="K11" s="562"/>
      <c r="L11" s="564"/>
    </row>
    <row r="12" spans="1:12">
      <c r="A12" s="565" t="s">
        <v>700</v>
      </c>
      <c r="B12" s="566" t="s">
        <v>682</v>
      </c>
      <c r="C12" s="566" t="s">
        <v>688</v>
      </c>
      <c r="D12" s="566" t="s">
        <v>701</v>
      </c>
      <c r="E12" s="566" t="s">
        <v>691</v>
      </c>
      <c r="F12" s="566" t="s">
        <v>695</v>
      </c>
      <c r="G12" s="566"/>
      <c r="H12" s="566"/>
      <c r="I12" s="566"/>
      <c r="J12" s="566"/>
      <c r="K12" s="562"/>
      <c r="L12" s="564"/>
    </row>
    <row r="13" spans="1:12">
      <c r="A13" s="565" t="s">
        <v>702</v>
      </c>
      <c r="B13" s="566" t="s">
        <v>682</v>
      </c>
      <c r="C13" s="566" t="s">
        <v>688</v>
      </c>
      <c r="D13" s="566" t="s">
        <v>701</v>
      </c>
      <c r="E13" s="566" t="s">
        <v>695</v>
      </c>
      <c r="F13" s="566"/>
      <c r="G13" s="566"/>
      <c r="H13" s="566"/>
      <c r="I13" s="566"/>
      <c r="J13" s="566"/>
      <c r="K13" s="562"/>
      <c r="L13" s="564"/>
    </row>
    <row r="14" spans="1:12">
      <c r="A14" s="565" t="s">
        <v>703</v>
      </c>
      <c r="B14" s="566" t="s">
        <v>682</v>
      </c>
      <c r="C14" s="566" t="s">
        <v>688</v>
      </c>
      <c r="D14" s="566" t="s">
        <v>701</v>
      </c>
      <c r="E14" s="566" t="s">
        <v>691</v>
      </c>
      <c r="F14" s="566" t="s">
        <v>704</v>
      </c>
      <c r="G14" s="566" t="s">
        <v>695</v>
      </c>
      <c r="H14" s="566"/>
      <c r="I14" s="566"/>
      <c r="J14" s="566"/>
      <c r="K14" s="562"/>
      <c r="L14" s="564"/>
    </row>
    <row r="15" spans="1:12">
      <c r="A15" s="565" t="s">
        <v>705</v>
      </c>
      <c r="B15" s="566" t="s">
        <v>682</v>
      </c>
      <c r="C15" s="566" t="s">
        <v>688</v>
      </c>
      <c r="D15" s="566" t="s">
        <v>689</v>
      </c>
      <c r="E15" s="566" t="s">
        <v>690</v>
      </c>
      <c r="F15" s="566" t="s">
        <v>692</v>
      </c>
      <c r="G15" s="566" t="s">
        <v>693</v>
      </c>
      <c r="H15" s="566" t="s">
        <v>694</v>
      </c>
      <c r="I15" s="566" t="s">
        <v>706</v>
      </c>
      <c r="J15" s="566" t="s">
        <v>707</v>
      </c>
      <c r="K15" s="562" t="s">
        <v>691</v>
      </c>
      <c r="L15" s="567" t="s">
        <v>695</v>
      </c>
    </row>
    <row r="16" spans="1:12">
      <c r="A16" s="565" t="s">
        <v>708</v>
      </c>
      <c r="B16" s="566" t="s">
        <v>682</v>
      </c>
      <c r="C16" s="566" t="s">
        <v>688</v>
      </c>
      <c r="D16" s="566" t="s">
        <v>690</v>
      </c>
      <c r="E16" s="566" t="s">
        <v>692</v>
      </c>
      <c r="F16" s="566" t="s">
        <v>693</v>
      </c>
      <c r="G16" s="566" t="s">
        <v>694</v>
      </c>
      <c r="H16" s="566" t="s">
        <v>691</v>
      </c>
      <c r="I16" s="566" t="s">
        <v>695</v>
      </c>
      <c r="J16" s="566"/>
      <c r="K16" s="562"/>
      <c r="L16" s="564"/>
    </row>
    <row r="17" spans="1:12">
      <c r="A17" s="565" t="s">
        <v>709</v>
      </c>
      <c r="B17" s="566" t="s">
        <v>682</v>
      </c>
      <c r="C17" s="566" t="s">
        <v>688</v>
      </c>
      <c r="D17" s="566" t="s">
        <v>710</v>
      </c>
      <c r="E17" s="566" t="s">
        <v>691</v>
      </c>
      <c r="F17" s="566" t="s">
        <v>695</v>
      </c>
      <c r="G17" s="566"/>
      <c r="H17" s="566"/>
      <c r="I17" s="566"/>
      <c r="J17" s="566"/>
      <c r="K17" s="562"/>
      <c r="L17" s="564"/>
    </row>
    <row r="18" spans="1:12">
      <c r="A18" s="565" t="s">
        <v>592</v>
      </c>
      <c r="B18" s="566" t="s">
        <v>682</v>
      </c>
      <c r="C18" s="566" t="s">
        <v>711</v>
      </c>
      <c r="D18" s="566" t="s">
        <v>695</v>
      </c>
      <c r="E18" s="566"/>
      <c r="F18" s="566"/>
      <c r="G18" s="566"/>
      <c r="H18" s="566"/>
      <c r="I18" s="566"/>
      <c r="J18" s="566"/>
      <c r="K18" s="568"/>
      <c r="L18" s="564"/>
    </row>
    <row r="19" spans="1:12">
      <c r="A19" s="565" t="s">
        <v>120</v>
      </c>
      <c r="B19" s="566" t="s">
        <v>682</v>
      </c>
      <c r="C19" s="566" t="s">
        <v>688</v>
      </c>
      <c r="D19" s="566" t="s">
        <v>712</v>
      </c>
      <c r="E19" s="566" t="s">
        <v>713</v>
      </c>
      <c r="F19" s="566" t="s">
        <v>714</v>
      </c>
      <c r="G19" s="566" t="s">
        <v>695</v>
      </c>
      <c r="H19" s="566"/>
      <c r="I19" s="566"/>
      <c r="J19" s="562"/>
      <c r="K19" s="568"/>
      <c r="L19" s="564"/>
    </row>
    <row r="20" spans="1:12">
      <c r="A20" s="565" t="s">
        <v>715</v>
      </c>
      <c r="B20" s="566" t="s">
        <v>682</v>
      </c>
      <c r="C20" s="566" t="s">
        <v>688</v>
      </c>
      <c r="D20" s="566" t="s">
        <v>712</v>
      </c>
      <c r="E20" s="566" t="s">
        <v>713</v>
      </c>
      <c r="F20" s="566" t="s">
        <v>695</v>
      </c>
      <c r="G20" s="566"/>
      <c r="H20" s="566"/>
      <c r="I20" s="566"/>
      <c r="J20" s="566"/>
      <c r="K20" s="562"/>
      <c r="L20" s="564"/>
    </row>
    <row r="21" spans="1:12">
      <c r="A21" s="565" t="s">
        <v>121</v>
      </c>
      <c r="B21" s="566" t="s">
        <v>682</v>
      </c>
      <c r="C21" s="566" t="s">
        <v>688</v>
      </c>
      <c r="D21" s="566" t="s">
        <v>712</v>
      </c>
      <c r="E21" s="566" t="s">
        <v>713</v>
      </c>
      <c r="F21" s="566" t="s">
        <v>716</v>
      </c>
      <c r="G21" s="566" t="s">
        <v>695</v>
      </c>
      <c r="H21" s="566"/>
      <c r="I21" s="566"/>
      <c r="J21" s="566"/>
      <c r="K21" s="562"/>
      <c r="L21" s="564"/>
    </row>
    <row r="22" spans="1:12">
      <c r="A22" s="565" t="s">
        <v>122</v>
      </c>
      <c r="B22" s="566" t="s">
        <v>682</v>
      </c>
      <c r="C22" s="566" t="s">
        <v>688</v>
      </c>
      <c r="D22" s="566" t="s">
        <v>712</v>
      </c>
      <c r="E22" s="566" t="s">
        <v>713</v>
      </c>
      <c r="F22" s="566" t="s">
        <v>717</v>
      </c>
      <c r="G22" s="566" t="s">
        <v>695</v>
      </c>
      <c r="H22" s="566"/>
      <c r="I22" s="566"/>
      <c r="J22" s="566"/>
      <c r="K22" s="562"/>
      <c r="L22" s="564"/>
    </row>
    <row r="23" spans="1:12">
      <c r="A23" s="565" t="s">
        <v>718</v>
      </c>
      <c r="B23" s="566" t="s">
        <v>682</v>
      </c>
      <c r="C23" s="566" t="s">
        <v>719</v>
      </c>
      <c r="D23" s="566" t="s">
        <v>695</v>
      </c>
      <c r="E23" s="566"/>
      <c r="F23" s="566"/>
      <c r="G23" s="566"/>
      <c r="H23" s="566"/>
      <c r="I23" s="566"/>
      <c r="J23" s="566"/>
      <c r="K23" s="562"/>
      <c r="L23" s="564"/>
    </row>
    <row r="24" spans="1:12">
      <c r="A24" s="565" t="s">
        <v>720</v>
      </c>
      <c r="B24" s="566" t="s">
        <v>682</v>
      </c>
      <c r="C24" s="566" t="s">
        <v>688</v>
      </c>
      <c r="D24" s="566" t="s">
        <v>721</v>
      </c>
      <c r="E24" s="566" t="s">
        <v>695</v>
      </c>
      <c r="F24" s="566"/>
      <c r="G24" s="566"/>
      <c r="H24" s="566"/>
      <c r="I24" s="566"/>
      <c r="J24" s="566"/>
      <c r="K24" s="562"/>
      <c r="L24" s="564"/>
    </row>
    <row r="25" spans="1:12">
      <c r="A25" s="565" t="s">
        <v>722</v>
      </c>
      <c r="B25" s="566" t="s">
        <v>682</v>
      </c>
      <c r="C25" s="566" t="s">
        <v>688</v>
      </c>
      <c r="D25" s="566" t="s">
        <v>723</v>
      </c>
      <c r="E25" s="566" t="s">
        <v>695</v>
      </c>
      <c r="F25" s="566"/>
      <c r="G25" s="566"/>
      <c r="H25" s="566"/>
      <c r="I25" s="566"/>
      <c r="J25" s="566"/>
      <c r="K25" s="562"/>
      <c r="L25" s="564"/>
    </row>
    <row r="26" spans="1:12">
      <c r="A26" s="565" t="s">
        <v>724</v>
      </c>
      <c r="B26" s="566" t="s">
        <v>682</v>
      </c>
      <c r="C26" s="566" t="s">
        <v>719</v>
      </c>
      <c r="D26" s="566" t="s">
        <v>725</v>
      </c>
      <c r="E26" s="566" t="s">
        <v>695</v>
      </c>
      <c r="F26" s="566"/>
      <c r="G26" s="566"/>
      <c r="H26" s="566"/>
      <c r="I26" s="566"/>
      <c r="J26" s="566"/>
      <c r="K26" s="562"/>
      <c r="L26" s="564"/>
    </row>
    <row r="27" spans="1:12">
      <c r="A27" s="565" t="s">
        <v>726</v>
      </c>
      <c r="B27" s="566" t="s">
        <v>682</v>
      </c>
      <c r="C27" s="566" t="s">
        <v>727</v>
      </c>
      <c r="D27" s="566" t="s">
        <v>728</v>
      </c>
      <c r="E27" s="566" t="s">
        <v>729</v>
      </c>
      <c r="F27" s="566" t="s">
        <v>730</v>
      </c>
      <c r="G27" s="566" t="s">
        <v>690</v>
      </c>
      <c r="H27" s="566" t="s">
        <v>695</v>
      </c>
      <c r="I27" s="566"/>
      <c r="J27" s="566"/>
      <c r="K27" s="562"/>
      <c r="L27" s="564"/>
    </row>
    <row r="28" spans="1:12">
      <c r="A28" s="565" t="s">
        <v>731</v>
      </c>
      <c r="B28" s="566" t="s">
        <v>682</v>
      </c>
      <c r="C28" s="566" t="s">
        <v>727</v>
      </c>
      <c r="D28" s="566" t="s">
        <v>732</v>
      </c>
      <c r="E28" s="566" t="s">
        <v>690</v>
      </c>
      <c r="F28" s="566" t="s">
        <v>728</v>
      </c>
      <c r="G28" s="566" t="s">
        <v>729</v>
      </c>
      <c r="H28" s="566" t="s">
        <v>730</v>
      </c>
      <c r="I28" s="566" t="s">
        <v>695</v>
      </c>
      <c r="J28" s="566"/>
      <c r="K28" s="562"/>
      <c r="L28" s="564"/>
    </row>
    <row r="29" spans="1:12">
      <c r="A29" s="565" t="s">
        <v>733</v>
      </c>
      <c r="B29" s="566" t="s">
        <v>682</v>
      </c>
      <c r="C29" s="566" t="s">
        <v>727</v>
      </c>
      <c r="D29" s="566" t="s">
        <v>732</v>
      </c>
      <c r="E29" s="566" t="s">
        <v>728</v>
      </c>
      <c r="F29" s="566" t="s">
        <v>729</v>
      </c>
      <c r="G29" s="566" t="s">
        <v>734</v>
      </c>
      <c r="H29" s="566" t="s">
        <v>735</v>
      </c>
      <c r="I29" s="566" t="s">
        <v>730</v>
      </c>
      <c r="J29" s="566" t="s">
        <v>690</v>
      </c>
      <c r="K29" s="566" t="s">
        <v>695</v>
      </c>
      <c r="L29" s="564"/>
    </row>
    <row r="30" spans="1:12">
      <c r="A30" s="565" t="s">
        <v>736</v>
      </c>
      <c r="B30" s="566" t="s">
        <v>682</v>
      </c>
      <c r="C30" s="566" t="s">
        <v>727</v>
      </c>
      <c r="D30" s="566" t="s">
        <v>737</v>
      </c>
      <c r="E30" s="566"/>
      <c r="F30" s="566"/>
      <c r="G30" s="566"/>
      <c r="H30" s="566"/>
      <c r="I30" s="566"/>
      <c r="J30" s="566"/>
      <c r="K30" s="566"/>
      <c r="L30" s="564"/>
    </row>
    <row r="31" spans="1:12">
      <c r="A31" s="565" t="s">
        <v>738</v>
      </c>
      <c r="B31" s="566" t="s">
        <v>682</v>
      </c>
      <c r="C31" s="566" t="s">
        <v>727</v>
      </c>
      <c r="D31" s="566" t="s">
        <v>737</v>
      </c>
      <c r="E31" s="566"/>
      <c r="F31" s="566"/>
      <c r="G31" s="566"/>
      <c r="H31" s="566"/>
      <c r="I31" s="566"/>
      <c r="J31" s="566"/>
      <c r="K31" s="566"/>
      <c r="L31" s="564"/>
    </row>
    <row r="32" spans="1:12">
      <c r="A32" s="565" t="s">
        <v>739</v>
      </c>
      <c r="B32" s="566" t="s">
        <v>682</v>
      </c>
      <c r="C32" s="566" t="s">
        <v>727</v>
      </c>
      <c r="D32" s="566" t="s">
        <v>689</v>
      </c>
      <c r="E32" s="566" t="s">
        <v>690</v>
      </c>
      <c r="F32" s="566" t="s">
        <v>728</v>
      </c>
      <c r="G32" s="566" t="s">
        <v>729</v>
      </c>
      <c r="H32" s="566" t="s">
        <v>734</v>
      </c>
      <c r="I32" s="566" t="s">
        <v>735</v>
      </c>
      <c r="J32" s="566" t="s">
        <v>740</v>
      </c>
      <c r="K32" s="566" t="s">
        <v>695</v>
      </c>
      <c r="L32" s="564"/>
    </row>
    <row r="33" spans="1:29" ht="27">
      <c r="A33" s="569" t="s">
        <v>741</v>
      </c>
      <c r="B33" s="570" t="s">
        <v>727</v>
      </c>
      <c r="C33" s="570" t="s">
        <v>689</v>
      </c>
      <c r="D33" s="570" t="s">
        <v>690</v>
      </c>
      <c r="E33" s="570" t="s">
        <v>728</v>
      </c>
      <c r="F33" s="570" t="s">
        <v>729</v>
      </c>
      <c r="G33" s="570" t="s">
        <v>740</v>
      </c>
      <c r="H33" s="571" t="s">
        <v>742</v>
      </c>
      <c r="I33" s="570" t="s">
        <v>743</v>
      </c>
      <c r="J33" s="570" t="s">
        <v>695</v>
      </c>
      <c r="K33" s="572"/>
      <c r="L33" s="573"/>
    </row>
    <row r="34" spans="1:29">
      <c r="A34" s="574" t="s">
        <v>744</v>
      </c>
      <c r="B34" s="575" t="s">
        <v>745</v>
      </c>
      <c r="C34" s="575" t="s">
        <v>746</v>
      </c>
      <c r="D34" s="575" t="s">
        <v>747</v>
      </c>
      <c r="E34" s="575" t="s">
        <v>748</v>
      </c>
      <c r="F34" s="575" t="s">
        <v>749</v>
      </c>
      <c r="G34" s="575" t="s">
        <v>750</v>
      </c>
      <c r="H34" s="575" t="s">
        <v>751</v>
      </c>
      <c r="I34" s="575" t="s">
        <v>752</v>
      </c>
      <c r="J34" s="575" t="s">
        <v>753</v>
      </c>
      <c r="K34" s="575" t="s">
        <v>754</v>
      </c>
      <c r="L34" s="576" t="s">
        <v>755</v>
      </c>
      <c r="M34" s="577" t="s">
        <v>756</v>
      </c>
      <c r="N34" s="578" t="s">
        <v>757</v>
      </c>
      <c r="O34" s="578" t="s">
        <v>758</v>
      </c>
      <c r="P34" s="578" t="s">
        <v>759</v>
      </c>
      <c r="Q34" s="578" t="s">
        <v>760</v>
      </c>
      <c r="R34" s="578" t="s">
        <v>761</v>
      </c>
      <c r="S34" s="578" t="s">
        <v>762</v>
      </c>
      <c r="T34" s="578" t="s">
        <v>763</v>
      </c>
      <c r="U34" s="578" t="s">
        <v>764</v>
      </c>
      <c r="V34" s="578" t="s">
        <v>765</v>
      </c>
      <c r="W34" s="579" t="s">
        <v>766</v>
      </c>
      <c r="X34" s="579" t="s">
        <v>767</v>
      </c>
      <c r="Y34" s="579" t="s">
        <v>768</v>
      </c>
      <c r="Z34" s="579" t="s">
        <v>769</v>
      </c>
      <c r="AA34" s="579" t="s">
        <v>770</v>
      </c>
      <c r="AB34" s="579" t="s">
        <v>771</v>
      </c>
      <c r="AC34" s="580" t="s">
        <v>772</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38" t="s">
        <v>419</v>
      </c>
      <c r="C1" s="838"/>
      <c r="D1" s="838"/>
      <c r="E1" s="838"/>
      <c r="F1" s="838"/>
      <c r="G1" s="838"/>
      <c r="H1" s="838"/>
      <c r="I1" s="838"/>
      <c r="J1" s="838"/>
      <c r="K1" s="838"/>
      <c r="L1" s="838"/>
      <c r="M1" s="838"/>
      <c r="N1" s="838"/>
      <c r="O1" s="838"/>
      <c r="P1" s="838"/>
      <c r="Q1" s="838"/>
      <c r="R1" s="838"/>
      <c r="S1" s="217"/>
      <c r="T1" s="217"/>
      <c r="U1" s="217"/>
      <c r="V1" s="217"/>
      <c r="W1" s="217"/>
      <c r="X1" s="217"/>
      <c r="Y1" s="217"/>
      <c r="Z1" s="217"/>
      <c r="AA1" s="217"/>
      <c r="AB1" s="217"/>
      <c r="AC1" s="217"/>
      <c r="AD1" s="217"/>
      <c r="AE1" s="217"/>
    </row>
    <row r="2" spans="2:31" ht="18" customHeight="1" thickBot="1">
      <c r="B2" s="330" t="s">
        <v>421</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39">
        <v>7</v>
      </c>
      <c r="C3" s="839"/>
      <c r="D3" s="839"/>
      <c r="F3" s="294" t="s">
        <v>247</v>
      </c>
      <c r="G3" s="840">
        <f>【共通】!C5</f>
        <v>0</v>
      </c>
      <c r="H3" s="841"/>
      <c r="I3" s="842"/>
      <c r="J3" s="258"/>
      <c r="K3" s="843" t="s">
        <v>248</v>
      </c>
      <c r="L3" s="844"/>
      <c r="M3" s="845" t="s">
        <v>122</v>
      </c>
      <c r="N3" s="846"/>
      <c r="P3" s="256" t="s">
        <v>249</v>
      </c>
      <c r="Q3" s="847" t="str">
        <f>IFERROR(VLOOKUP(M3,【共通】!C11:F16,4,FALSE),"")</f>
        <v/>
      </c>
      <c r="R3" s="848"/>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1" t="s">
        <v>250</v>
      </c>
      <c r="C5" s="852"/>
      <c r="D5" s="853"/>
      <c r="E5" s="857">
        <f>B3-1</f>
        <v>6</v>
      </c>
      <c r="F5" s="858"/>
      <c r="G5" s="859"/>
      <c r="H5" s="857">
        <f>B3</f>
        <v>7</v>
      </c>
      <c r="I5" s="858"/>
      <c r="J5" s="858"/>
      <c r="K5" s="858"/>
      <c r="L5" s="858"/>
      <c r="M5" s="858"/>
      <c r="N5" s="858"/>
      <c r="O5" s="858"/>
      <c r="P5" s="859"/>
      <c r="Q5" s="860" t="s">
        <v>129</v>
      </c>
      <c r="R5" s="861"/>
      <c r="S5" s="243"/>
    </row>
    <row r="6" spans="2:31" ht="18" customHeight="1" thickBot="1">
      <c r="B6" s="854"/>
      <c r="C6" s="855"/>
      <c r="D6" s="856"/>
      <c r="E6" s="259" t="s">
        <v>302</v>
      </c>
      <c r="F6" s="259" t="s">
        <v>303</v>
      </c>
      <c r="G6" s="259" t="s">
        <v>304</v>
      </c>
      <c r="H6" s="259" t="s">
        <v>251</v>
      </c>
      <c r="I6" s="259" t="s">
        <v>252</v>
      </c>
      <c r="J6" s="259" t="s">
        <v>253</v>
      </c>
      <c r="K6" s="259" t="s">
        <v>254</v>
      </c>
      <c r="L6" s="259" t="s">
        <v>255</v>
      </c>
      <c r="M6" s="259" t="s">
        <v>256</v>
      </c>
      <c r="N6" s="259" t="s">
        <v>257</v>
      </c>
      <c r="O6" s="259" t="s">
        <v>258</v>
      </c>
      <c r="P6" s="260" t="s">
        <v>259</v>
      </c>
      <c r="Q6" s="862"/>
      <c r="R6" s="863"/>
      <c r="S6" s="243"/>
    </row>
    <row r="7" spans="2:31" ht="24.95" customHeight="1">
      <c r="B7" s="245"/>
      <c r="C7" s="267" t="s">
        <v>260</v>
      </c>
      <c r="D7" s="246"/>
      <c r="E7" s="261"/>
      <c r="F7" s="261"/>
      <c r="G7" s="261"/>
      <c r="H7" s="237"/>
      <c r="I7" s="237"/>
      <c r="J7" s="237"/>
      <c r="K7" s="237"/>
      <c r="L7" s="237"/>
      <c r="M7" s="237"/>
      <c r="N7" s="237"/>
      <c r="O7" s="237"/>
      <c r="P7" s="237"/>
      <c r="Q7" s="864"/>
      <c r="R7" s="865"/>
      <c r="S7" s="243"/>
    </row>
    <row r="8" spans="2:31" ht="24.95" customHeight="1">
      <c r="B8" s="247"/>
      <c r="C8" s="268" t="s">
        <v>261</v>
      </c>
      <c r="D8" s="248"/>
      <c r="E8" s="261"/>
      <c r="F8" s="261"/>
      <c r="G8" s="261"/>
      <c r="H8" s="238"/>
      <c r="I8" s="238"/>
      <c r="J8" s="238"/>
      <c r="K8" s="238"/>
      <c r="L8" s="238"/>
      <c r="M8" s="238"/>
      <c r="N8" s="238"/>
      <c r="O8" s="238"/>
      <c r="P8" s="238"/>
      <c r="Q8" s="864"/>
      <c r="R8" s="865"/>
      <c r="S8" s="243"/>
    </row>
    <row r="9" spans="2:31" ht="24.95" customHeight="1">
      <c r="B9" s="247"/>
      <c r="C9" s="268" t="s">
        <v>262</v>
      </c>
      <c r="D9" s="248"/>
      <c r="E9" s="261"/>
      <c r="F9" s="261"/>
      <c r="G9" s="261"/>
      <c r="H9" s="238"/>
      <c r="I9" s="238"/>
      <c r="J9" s="238"/>
      <c r="K9" s="238"/>
      <c r="L9" s="238"/>
      <c r="M9" s="238"/>
      <c r="N9" s="238"/>
      <c r="O9" s="238"/>
      <c r="P9" s="238"/>
      <c r="Q9" s="864"/>
      <c r="R9" s="865"/>
      <c r="S9" s="243"/>
    </row>
    <row r="10" spans="2:31" ht="24.95" customHeight="1">
      <c r="B10" s="247"/>
      <c r="C10" s="268" t="s">
        <v>263</v>
      </c>
      <c r="D10" s="248"/>
      <c r="E10" s="261"/>
      <c r="F10" s="261"/>
      <c r="G10" s="261"/>
      <c r="H10" s="238"/>
      <c r="I10" s="238"/>
      <c r="J10" s="238"/>
      <c r="K10" s="238"/>
      <c r="L10" s="238"/>
      <c r="M10" s="238"/>
      <c r="N10" s="238"/>
      <c r="O10" s="238"/>
      <c r="P10" s="238"/>
      <c r="Q10" s="864"/>
      <c r="R10" s="865"/>
      <c r="S10" s="243"/>
    </row>
    <row r="11" spans="2:31" ht="24.95" customHeight="1">
      <c r="B11" s="247"/>
      <c r="C11" s="268" t="s">
        <v>264</v>
      </c>
      <c r="D11" s="248"/>
      <c r="E11" s="261"/>
      <c r="F11" s="261"/>
      <c r="G11" s="261"/>
      <c r="H11" s="238"/>
      <c r="I11" s="238"/>
      <c r="J11" s="238"/>
      <c r="K11" s="238"/>
      <c r="L11" s="238"/>
      <c r="M11" s="238"/>
      <c r="N11" s="238"/>
      <c r="O11" s="238"/>
      <c r="P11" s="238"/>
      <c r="Q11" s="864"/>
      <c r="R11" s="865"/>
      <c r="S11" s="243"/>
    </row>
    <row r="12" spans="2:31" ht="24.95" customHeight="1">
      <c r="B12" s="247"/>
      <c r="C12" s="268" t="s">
        <v>265</v>
      </c>
      <c r="D12" s="248"/>
      <c r="E12" s="261"/>
      <c r="F12" s="261"/>
      <c r="G12" s="261"/>
      <c r="H12" s="238"/>
      <c r="I12" s="238"/>
      <c r="J12" s="238"/>
      <c r="K12" s="238"/>
      <c r="L12" s="238"/>
      <c r="M12" s="238"/>
      <c r="N12" s="238"/>
      <c r="O12" s="238"/>
      <c r="P12" s="238"/>
      <c r="Q12" s="864"/>
      <c r="R12" s="865"/>
      <c r="S12" s="243"/>
    </row>
    <row r="13" spans="2:31" ht="24.95" customHeight="1">
      <c r="B13" s="247"/>
      <c r="C13" s="268" t="s">
        <v>266</v>
      </c>
      <c r="D13" s="248"/>
      <c r="E13" s="261"/>
      <c r="F13" s="261"/>
      <c r="G13" s="261"/>
      <c r="H13" s="238"/>
      <c r="I13" s="238"/>
      <c r="J13" s="238"/>
      <c r="K13" s="238"/>
      <c r="L13" s="238"/>
      <c r="M13" s="238"/>
      <c r="N13" s="238"/>
      <c r="O13" s="238"/>
      <c r="P13" s="238"/>
      <c r="Q13" s="864"/>
      <c r="R13" s="865"/>
      <c r="S13" s="243"/>
    </row>
    <row r="14" spans="2:31" ht="24.95" customHeight="1">
      <c r="B14" s="247"/>
      <c r="C14" s="268" t="s">
        <v>267</v>
      </c>
      <c r="D14" s="248"/>
      <c r="E14" s="261"/>
      <c r="F14" s="261"/>
      <c r="G14" s="261"/>
      <c r="H14" s="238"/>
      <c r="I14" s="238"/>
      <c r="J14" s="238"/>
      <c r="K14" s="238"/>
      <c r="L14" s="238"/>
      <c r="M14" s="238"/>
      <c r="N14" s="238"/>
      <c r="O14" s="238"/>
      <c r="P14" s="238"/>
      <c r="Q14" s="864"/>
      <c r="R14" s="865"/>
      <c r="S14" s="243"/>
    </row>
    <row r="15" spans="2:31" ht="24.95" customHeight="1">
      <c r="B15" s="247"/>
      <c r="C15" s="268" t="s">
        <v>268</v>
      </c>
      <c r="D15" s="248"/>
      <c r="E15" s="261"/>
      <c r="F15" s="261"/>
      <c r="G15" s="261"/>
      <c r="H15" s="238"/>
      <c r="I15" s="238"/>
      <c r="J15" s="238"/>
      <c r="K15" s="238"/>
      <c r="L15" s="238"/>
      <c r="M15" s="238"/>
      <c r="N15" s="238"/>
      <c r="O15" s="238"/>
      <c r="P15" s="238"/>
      <c r="Q15" s="864"/>
      <c r="R15" s="865"/>
      <c r="S15" s="243"/>
    </row>
    <row r="16" spans="2:31" ht="24.95" customHeight="1">
      <c r="B16" s="247"/>
      <c r="C16" s="268" t="s">
        <v>269</v>
      </c>
      <c r="D16" s="248"/>
      <c r="E16" s="261"/>
      <c r="F16" s="261"/>
      <c r="G16" s="261"/>
      <c r="H16" s="238"/>
      <c r="I16" s="238"/>
      <c r="J16" s="238"/>
      <c r="K16" s="238"/>
      <c r="L16" s="238"/>
      <c r="M16" s="238"/>
      <c r="N16" s="238"/>
      <c r="O16" s="238"/>
      <c r="P16" s="238"/>
      <c r="Q16" s="864"/>
      <c r="R16" s="865"/>
      <c r="S16" s="243"/>
    </row>
    <row r="17" spans="2:19" ht="24.95" customHeight="1">
      <c r="B17" s="247"/>
      <c r="C17" s="268" t="s">
        <v>270</v>
      </c>
      <c r="D17" s="248"/>
      <c r="E17" s="261"/>
      <c r="F17" s="261"/>
      <c r="G17" s="261"/>
      <c r="H17" s="238"/>
      <c r="I17" s="238"/>
      <c r="J17" s="238"/>
      <c r="K17" s="238"/>
      <c r="L17" s="238"/>
      <c r="M17" s="238"/>
      <c r="N17" s="238"/>
      <c r="O17" s="238"/>
      <c r="P17" s="238"/>
      <c r="Q17" s="864"/>
      <c r="R17" s="865"/>
      <c r="S17" s="243"/>
    </row>
    <row r="18" spans="2:19" ht="24.95" customHeight="1">
      <c r="B18" s="247"/>
      <c r="C18" s="268" t="s">
        <v>271</v>
      </c>
      <c r="D18" s="248"/>
      <c r="E18" s="261"/>
      <c r="F18" s="261"/>
      <c r="G18" s="261"/>
      <c r="H18" s="238"/>
      <c r="I18" s="238"/>
      <c r="J18" s="238"/>
      <c r="K18" s="238"/>
      <c r="L18" s="238"/>
      <c r="M18" s="238"/>
      <c r="N18" s="238"/>
      <c r="O18" s="238"/>
      <c r="P18" s="238"/>
      <c r="Q18" s="864"/>
      <c r="R18" s="865"/>
      <c r="S18" s="243"/>
    </row>
    <row r="19" spans="2:19" ht="24.95" customHeight="1">
      <c r="B19" s="247"/>
      <c r="C19" s="268" t="s">
        <v>272</v>
      </c>
      <c r="D19" s="248"/>
      <c r="E19" s="261"/>
      <c r="F19" s="261"/>
      <c r="G19" s="261"/>
      <c r="H19" s="238"/>
      <c r="I19" s="238"/>
      <c r="J19" s="238"/>
      <c r="K19" s="238"/>
      <c r="L19" s="238"/>
      <c r="M19" s="238"/>
      <c r="N19" s="238"/>
      <c r="O19" s="238"/>
      <c r="P19" s="238"/>
      <c r="Q19" s="864"/>
      <c r="R19" s="865"/>
      <c r="S19" s="243"/>
    </row>
    <row r="20" spans="2:19" ht="24.95" customHeight="1">
      <c r="B20" s="247"/>
      <c r="C20" s="268" t="s">
        <v>273</v>
      </c>
      <c r="D20" s="248"/>
      <c r="E20" s="261"/>
      <c r="F20" s="261"/>
      <c r="G20" s="261"/>
      <c r="H20" s="238"/>
      <c r="I20" s="238"/>
      <c r="J20" s="238"/>
      <c r="K20" s="238"/>
      <c r="L20" s="238"/>
      <c r="M20" s="238"/>
      <c r="N20" s="238"/>
      <c r="O20" s="238"/>
      <c r="P20" s="238"/>
      <c r="Q20" s="864"/>
      <c r="R20" s="865"/>
      <c r="S20" s="243"/>
    </row>
    <row r="21" spans="2:19" ht="24.95" customHeight="1">
      <c r="B21" s="247"/>
      <c r="C21" s="268" t="s">
        <v>274</v>
      </c>
      <c r="D21" s="248"/>
      <c r="E21" s="261"/>
      <c r="F21" s="261"/>
      <c r="G21" s="261"/>
      <c r="H21" s="238"/>
      <c r="I21" s="238"/>
      <c r="J21" s="238"/>
      <c r="K21" s="238"/>
      <c r="L21" s="238"/>
      <c r="M21" s="238"/>
      <c r="N21" s="238"/>
      <c r="O21" s="238"/>
      <c r="P21" s="238"/>
      <c r="Q21" s="864"/>
      <c r="R21" s="865"/>
      <c r="S21" s="243"/>
    </row>
    <row r="22" spans="2:19" ht="24.95" customHeight="1">
      <c r="B22" s="247"/>
      <c r="C22" s="268" t="s">
        <v>275</v>
      </c>
      <c r="D22" s="248"/>
      <c r="E22" s="261"/>
      <c r="F22" s="261"/>
      <c r="G22" s="261"/>
      <c r="H22" s="238"/>
      <c r="I22" s="238"/>
      <c r="J22" s="238"/>
      <c r="K22" s="238"/>
      <c r="L22" s="238"/>
      <c r="M22" s="238"/>
      <c r="N22" s="238"/>
      <c r="O22" s="238"/>
      <c r="P22" s="238"/>
      <c r="Q22" s="864"/>
      <c r="R22" s="865"/>
      <c r="S22" s="243"/>
    </row>
    <row r="23" spans="2:19" ht="24.95" customHeight="1">
      <c r="B23" s="247"/>
      <c r="C23" s="268" t="s">
        <v>276</v>
      </c>
      <c r="D23" s="248"/>
      <c r="E23" s="261"/>
      <c r="F23" s="261"/>
      <c r="G23" s="261"/>
      <c r="H23" s="238"/>
      <c r="I23" s="238"/>
      <c r="J23" s="238"/>
      <c r="K23" s="238"/>
      <c r="L23" s="238"/>
      <c r="M23" s="238"/>
      <c r="N23" s="238"/>
      <c r="O23" s="238"/>
      <c r="P23" s="238"/>
      <c r="Q23" s="864"/>
      <c r="R23" s="865"/>
      <c r="S23" s="243"/>
    </row>
    <row r="24" spans="2:19" ht="24.95" customHeight="1">
      <c r="B24" s="247"/>
      <c r="C24" s="268" t="s">
        <v>277</v>
      </c>
      <c r="D24" s="248"/>
      <c r="E24" s="261"/>
      <c r="F24" s="261"/>
      <c r="G24" s="261"/>
      <c r="H24" s="238"/>
      <c r="I24" s="238"/>
      <c r="J24" s="238"/>
      <c r="K24" s="238"/>
      <c r="L24" s="238"/>
      <c r="M24" s="238"/>
      <c r="N24" s="238"/>
      <c r="O24" s="238"/>
      <c r="P24" s="238"/>
      <c r="Q24" s="864"/>
      <c r="R24" s="865"/>
      <c r="S24" s="243"/>
    </row>
    <row r="25" spans="2:19" ht="24.95" customHeight="1">
      <c r="B25" s="247"/>
      <c r="C25" s="268" t="s">
        <v>278</v>
      </c>
      <c r="D25" s="248"/>
      <c r="E25" s="261"/>
      <c r="F25" s="261"/>
      <c r="G25" s="261"/>
      <c r="H25" s="238"/>
      <c r="I25" s="238"/>
      <c r="J25" s="238"/>
      <c r="K25" s="238"/>
      <c r="L25" s="238"/>
      <c r="M25" s="238"/>
      <c r="N25" s="238"/>
      <c r="O25" s="238"/>
      <c r="P25" s="238"/>
      <c r="Q25" s="864"/>
      <c r="R25" s="865"/>
      <c r="S25" s="243"/>
    </row>
    <row r="26" spans="2:19" ht="24.95" customHeight="1">
      <c r="B26" s="247"/>
      <c r="C26" s="268" t="s">
        <v>279</v>
      </c>
      <c r="D26" s="248"/>
      <c r="E26" s="261"/>
      <c r="F26" s="261"/>
      <c r="G26" s="261"/>
      <c r="H26" s="238"/>
      <c r="I26" s="238"/>
      <c r="J26" s="238"/>
      <c r="K26" s="238"/>
      <c r="L26" s="238"/>
      <c r="M26" s="238"/>
      <c r="N26" s="238"/>
      <c r="O26" s="238"/>
      <c r="P26" s="238"/>
      <c r="Q26" s="864"/>
      <c r="R26" s="865"/>
      <c r="S26" s="243"/>
    </row>
    <row r="27" spans="2:19" ht="24.95" customHeight="1">
      <c r="B27" s="247"/>
      <c r="C27" s="268" t="s">
        <v>280</v>
      </c>
      <c r="D27" s="248"/>
      <c r="E27" s="261"/>
      <c r="F27" s="261"/>
      <c r="G27" s="261"/>
      <c r="H27" s="238"/>
      <c r="I27" s="238"/>
      <c r="J27" s="238"/>
      <c r="K27" s="238"/>
      <c r="L27" s="238"/>
      <c r="M27" s="238"/>
      <c r="N27" s="238"/>
      <c r="O27" s="238"/>
      <c r="P27" s="238"/>
      <c r="Q27" s="864"/>
      <c r="R27" s="865"/>
      <c r="S27" s="243"/>
    </row>
    <row r="28" spans="2:19" ht="24.95" customHeight="1">
      <c r="B28" s="247"/>
      <c r="C28" s="268" t="s">
        <v>281</v>
      </c>
      <c r="D28" s="248"/>
      <c r="E28" s="261"/>
      <c r="F28" s="261"/>
      <c r="G28" s="261"/>
      <c r="H28" s="238"/>
      <c r="I28" s="238"/>
      <c r="J28" s="238"/>
      <c r="K28" s="238"/>
      <c r="L28" s="238"/>
      <c r="M28" s="238"/>
      <c r="N28" s="238"/>
      <c r="O28" s="238"/>
      <c r="P28" s="238"/>
      <c r="Q28" s="864"/>
      <c r="R28" s="865"/>
      <c r="S28" s="243"/>
    </row>
    <row r="29" spans="2:19" ht="24.95" customHeight="1">
      <c r="B29" s="247"/>
      <c r="C29" s="268" t="s">
        <v>282</v>
      </c>
      <c r="D29" s="248"/>
      <c r="E29" s="261"/>
      <c r="F29" s="261"/>
      <c r="G29" s="261"/>
      <c r="H29" s="238"/>
      <c r="I29" s="238"/>
      <c r="J29" s="238"/>
      <c r="K29" s="238"/>
      <c r="L29" s="238"/>
      <c r="M29" s="238"/>
      <c r="N29" s="238"/>
      <c r="O29" s="238"/>
      <c r="P29" s="238"/>
      <c r="Q29" s="864"/>
      <c r="R29" s="865"/>
      <c r="S29" s="243"/>
    </row>
    <row r="30" spans="2:19" ht="24.95" customHeight="1">
      <c r="B30" s="247"/>
      <c r="C30" s="268" t="s">
        <v>283</v>
      </c>
      <c r="D30" s="248"/>
      <c r="E30" s="261"/>
      <c r="F30" s="261"/>
      <c r="G30" s="261"/>
      <c r="H30" s="238"/>
      <c r="I30" s="238"/>
      <c r="J30" s="238"/>
      <c r="K30" s="238"/>
      <c r="L30" s="238"/>
      <c r="M30" s="238"/>
      <c r="N30" s="238"/>
      <c r="O30" s="238"/>
      <c r="P30" s="238"/>
      <c r="Q30" s="864"/>
      <c r="R30" s="865"/>
      <c r="S30" s="243"/>
    </row>
    <row r="31" spans="2:19" ht="24.95" customHeight="1">
      <c r="B31" s="247"/>
      <c r="C31" s="268" t="s">
        <v>284</v>
      </c>
      <c r="D31" s="248"/>
      <c r="E31" s="261"/>
      <c r="F31" s="261"/>
      <c r="G31" s="261"/>
      <c r="H31" s="238"/>
      <c r="I31" s="238"/>
      <c r="J31" s="238"/>
      <c r="K31" s="238"/>
      <c r="L31" s="238"/>
      <c r="M31" s="238"/>
      <c r="N31" s="238"/>
      <c r="O31" s="238"/>
      <c r="P31" s="238"/>
      <c r="Q31" s="864"/>
      <c r="R31" s="865"/>
      <c r="S31" s="243"/>
    </row>
    <row r="32" spans="2:19" ht="24.95" customHeight="1">
      <c r="B32" s="247"/>
      <c r="C32" s="268" t="s">
        <v>285</v>
      </c>
      <c r="D32" s="248"/>
      <c r="E32" s="261"/>
      <c r="F32" s="261"/>
      <c r="G32" s="261"/>
      <c r="H32" s="238"/>
      <c r="I32" s="238"/>
      <c r="J32" s="238"/>
      <c r="K32" s="238"/>
      <c r="L32" s="238"/>
      <c r="M32" s="238"/>
      <c r="N32" s="238"/>
      <c r="O32" s="238"/>
      <c r="P32" s="238"/>
      <c r="Q32" s="864"/>
      <c r="R32" s="865"/>
      <c r="S32" s="243"/>
    </row>
    <row r="33" spans="2:20" ht="24.95" customHeight="1">
      <c r="B33" s="247"/>
      <c r="C33" s="268" t="s">
        <v>286</v>
      </c>
      <c r="D33" s="248"/>
      <c r="E33" s="261"/>
      <c r="F33" s="261"/>
      <c r="G33" s="261"/>
      <c r="H33" s="238"/>
      <c r="I33" s="238"/>
      <c r="J33" s="238"/>
      <c r="K33" s="238"/>
      <c r="L33" s="238"/>
      <c r="M33" s="238"/>
      <c r="N33" s="238"/>
      <c r="O33" s="238"/>
      <c r="P33" s="238"/>
      <c r="Q33" s="864"/>
      <c r="R33" s="865"/>
      <c r="S33" s="243"/>
    </row>
    <row r="34" spans="2:20" ht="24.95" customHeight="1">
      <c r="B34" s="247"/>
      <c r="C34" s="268" t="s">
        <v>287</v>
      </c>
      <c r="D34" s="248"/>
      <c r="E34" s="261"/>
      <c r="F34" s="261"/>
      <c r="G34" s="261"/>
      <c r="H34" s="238"/>
      <c r="I34" s="238"/>
      <c r="J34" s="238"/>
      <c r="K34" s="238"/>
      <c r="L34" s="238"/>
      <c r="M34" s="238"/>
      <c r="N34" s="238"/>
      <c r="O34" s="238"/>
      <c r="P34" s="238"/>
      <c r="Q34" s="864"/>
      <c r="R34" s="865"/>
      <c r="S34" s="243"/>
    </row>
    <row r="35" spans="2:20" ht="24.95" customHeight="1">
      <c r="B35" s="247"/>
      <c r="C35" s="268" t="s">
        <v>288</v>
      </c>
      <c r="D35" s="248"/>
      <c r="E35" s="261"/>
      <c r="F35" s="261"/>
      <c r="G35" s="261"/>
      <c r="H35" s="238"/>
      <c r="I35" s="238"/>
      <c r="J35" s="238"/>
      <c r="K35" s="238"/>
      <c r="L35" s="238"/>
      <c r="M35" s="238"/>
      <c r="N35" s="238"/>
      <c r="O35" s="238"/>
      <c r="P35" s="238"/>
      <c r="Q35" s="864"/>
      <c r="R35" s="865"/>
      <c r="S35" s="243"/>
    </row>
    <row r="36" spans="2:20" ht="24.95" customHeight="1">
      <c r="B36" s="247"/>
      <c r="C36" s="268" t="s">
        <v>289</v>
      </c>
      <c r="D36" s="248"/>
      <c r="E36" s="261"/>
      <c r="F36" s="263"/>
      <c r="G36" s="261"/>
      <c r="H36" s="238"/>
      <c r="I36" s="238"/>
      <c r="J36" s="238"/>
      <c r="K36" s="238"/>
      <c r="L36" s="238"/>
      <c r="M36" s="238"/>
      <c r="N36" s="238"/>
      <c r="O36" s="238"/>
      <c r="P36" s="238"/>
      <c r="Q36" s="864"/>
      <c r="R36" s="865"/>
      <c r="S36" s="243"/>
    </row>
    <row r="37" spans="2:20" ht="24.95" customHeight="1" thickBot="1">
      <c r="B37" s="249"/>
      <c r="C37" s="269" t="s">
        <v>290</v>
      </c>
      <c r="D37" s="248"/>
      <c r="E37" s="261"/>
      <c r="F37" s="262"/>
      <c r="G37" s="261"/>
      <c r="H37" s="219"/>
      <c r="I37" s="238"/>
      <c r="J37" s="219"/>
      <c r="K37" s="238"/>
      <c r="L37" s="239"/>
      <c r="M37" s="219"/>
      <c r="N37" s="238"/>
      <c r="O37" s="219"/>
      <c r="P37" s="238"/>
      <c r="Q37" s="862"/>
      <c r="R37" s="863"/>
      <c r="S37" s="243"/>
    </row>
    <row r="38" spans="2:20" ht="27.95" customHeight="1" thickBot="1">
      <c r="B38" s="845" t="s">
        <v>291</v>
      </c>
      <c r="C38" s="849"/>
      <c r="D38" s="846"/>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66"/>
      <c r="R38" s="867"/>
      <c r="S38" s="243"/>
    </row>
    <row r="39" spans="2:20" ht="27.95" customHeight="1" thickBot="1">
      <c r="B39" s="872" t="s">
        <v>292</v>
      </c>
      <c r="C39" s="873"/>
      <c r="D39" s="874"/>
      <c r="E39" s="266"/>
      <c r="F39" s="266"/>
      <c r="G39" s="266"/>
      <c r="H39" s="240"/>
      <c r="I39" s="241"/>
      <c r="J39" s="241"/>
      <c r="K39" s="241"/>
      <c r="L39" s="241"/>
      <c r="M39" s="241"/>
      <c r="N39" s="241"/>
      <c r="O39" s="241"/>
      <c r="P39" s="241"/>
      <c r="Q39" s="868"/>
      <c r="R39" s="869"/>
      <c r="S39" s="243"/>
    </row>
    <row r="40" spans="2:20" ht="27.95" customHeight="1" thickBot="1">
      <c r="B40" s="875" t="s">
        <v>293</v>
      </c>
      <c r="C40" s="876"/>
      <c r="D40" s="876"/>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68"/>
      <c r="R40" s="869"/>
      <c r="S40" s="243"/>
    </row>
    <row r="41" spans="2:20" ht="27.95" customHeight="1" thickBot="1">
      <c r="B41" s="877" t="s">
        <v>305</v>
      </c>
      <c r="C41" s="878"/>
      <c r="D41" s="878"/>
      <c r="E41" s="878"/>
      <c r="F41" s="878"/>
      <c r="G41" s="879"/>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68"/>
      <c r="R41" s="869"/>
      <c r="S41" s="243"/>
    </row>
    <row r="42" spans="2:20" ht="27.95" customHeight="1" thickBot="1">
      <c r="B42" s="845" t="s">
        <v>306</v>
      </c>
      <c r="C42" s="849"/>
      <c r="D42" s="849"/>
      <c r="E42" s="849"/>
      <c r="F42" s="849"/>
      <c r="G42" s="846"/>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68"/>
      <c r="R42" s="869"/>
      <c r="S42" s="243"/>
    </row>
    <row r="43" spans="2:20" ht="27.95" customHeight="1" thickBot="1">
      <c r="B43" s="845" t="s">
        <v>294</v>
      </c>
      <c r="C43" s="849"/>
      <c r="D43" s="849"/>
      <c r="E43" s="849"/>
      <c r="F43" s="849"/>
      <c r="G43" s="846"/>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70"/>
      <c r="R43" s="871"/>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295</v>
      </c>
      <c r="C45" s="250"/>
      <c r="D45" s="250"/>
      <c r="E45" s="250"/>
      <c r="F45" s="250"/>
      <c r="G45" s="250"/>
      <c r="H45" s="243"/>
      <c r="I45" s="243"/>
      <c r="J45" s="243"/>
      <c r="K45" s="243"/>
      <c r="L45" s="243"/>
      <c r="M45" s="243"/>
      <c r="N45" s="243"/>
      <c r="O45" s="243"/>
      <c r="P45" s="243"/>
      <c r="Q45" s="243"/>
      <c r="R45" s="243"/>
      <c r="S45" s="243"/>
      <c r="T45" s="243"/>
    </row>
    <row r="46" spans="2:20" ht="18" customHeight="1">
      <c r="B46" s="331" t="s">
        <v>296</v>
      </c>
      <c r="C46" s="332" t="s">
        <v>420</v>
      </c>
      <c r="H46" s="243"/>
      <c r="I46" s="243"/>
      <c r="J46" s="243"/>
      <c r="K46" s="243"/>
      <c r="L46" s="243"/>
      <c r="M46" s="243"/>
      <c r="N46" s="243"/>
      <c r="O46" s="243"/>
      <c r="P46" s="243"/>
      <c r="Q46" s="243"/>
      <c r="R46" s="243"/>
      <c r="S46" s="243"/>
      <c r="T46" s="243"/>
    </row>
    <row r="47" spans="2:20" ht="18" customHeight="1">
      <c r="B47" s="331" t="s">
        <v>297</v>
      </c>
      <c r="C47" s="333" t="s">
        <v>298</v>
      </c>
      <c r="H47" s="243"/>
      <c r="I47" s="243"/>
      <c r="J47" s="243"/>
      <c r="K47" s="243"/>
      <c r="L47" s="243"/>
      <c r="M47" s="243"/>
      <c r="N47" s="243"/>
      <c r="O47" s="243"/>
      <c r="P47" s="243"/>
      <c r="Q47" s="243"/>
      <c r="R47" s="243"/>
      <c r="S47" s="243"/>
      <c r="T47" s="243"/>
    </row>
    <row r="48" spans="2:20" ht="18" customHeight="1">
      <c r="B48" s="331" t="s">
        <v>299</v>
      </c>
      <c r="C48" s="334" t="s">
        <v>307</v>
      </c>
      <c r="H48" s="243"/>
      <c r="I48" s="243"/>
      <c r="J48" s="243"/>
      <c r="K48" s="243"/>
      <c r="L48" s="243"/>
      <c r="M48" s="243"/>
      <c r="N48" s="243"/>
      <c r="O48" s="243"/>
      <c r="P48" s="243"/>
      <c r="Q48" s="243"/>
      <c r="R48" s="243"/>
      <c r="S48" s="243"/>
      <c r="T48" s="243"/>
    </row>
    <row r="49" spans="2:20" ht="18" customHeight="1">
      <c r="B49" s="331" t="s">
        <v>300</v>
      </c>
      <c r="C49" s="335" t="s">
        <v>308</v>
      </c>
      <c r="H49" s="243"/>
      <c r="I49" s="243"/>
      <c r="J49" s="243"/>
      <c r="K49" s="243"/>
      <c r="L49" s="243"/>
      <c r="M49" s="243"/>
      <c r="N49" s="243"/>
      <c r="O49" s="243"/>
      <c r="P49" s="243"/>
      <c r="Q49" s="243"/>
      <c r="R49" s="243"/>
      <c r="S49" s="243"/>
      <c r="T49" s="243"/>
    </row>
    <row r="50" spans="2:20" ht="18" customHeight="1">
      <c r="B50" s="251"/>
      <c r="C50" s="850"/>
      <c r="D50" s="850"/>
      <c r="E50" s="850"/>
      <c r="F50" s="850"/>
      <c r="G50" s="850"/>
      <c r="H50" s="850"/>
      <c r="I50" s="850"/>
      <c r="J50" s="850"/>
      <c r="K50" s="850"/>
      <c r="L50" s="850"/>
      <c r="M50" s="850"/>
      <c r="N50" s="850"/>
      <c r="O50" s="850"/>
      <c r="P50" s="850"/>
      <c r="Q50" s="850"/>
      <c r="R50" s="292"/>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38" t="s">
        <v>419</v>
      </c>
      <c r="C1" s="838"/>
      <c r="D1" s="838"/>
      <c r="E1" s="838"/>
      <c r="F1" s="838"/>
      <c r="G1" s="838"/>
      <c r="H1" s="838"/>
      <c r="I1" s="838"/>
      <c r="J1" s="838"/>
      <c r="K1" s="838"/>
      <c r="L1" s="838"/>
      <c r="M1" s="838"/>
      <c r="N1" s="838"/>
      <c r="O1" s="838"/>
      <c r="P1" s="838"/>
      <c r="Q1" s="838"/>
      <c r="R1" s="838"/>
      <c r="S1" s="217"/>
      <c r="T1" s="217"/>
      <c r="U1" s="217"/>
      <c r="V1" s="217"/>
      <c r="W1" s="217"/>
      <c r="X1" s="217"/>
      <c r="Y1" s="217"/>
      <c r="Z1" s="217"/>
      <c r="AA1" s="217"/>
      <c r="AB1" s="217"/>
      <c r="AC1" s="217"/>
      <c r="AD1" s="217"/>
      <c r="AE1" s="217"/>
    </row>
    <row r="2" spans="2:31" ht="18" customHeight="1" thickBot="1">
      <c r="B2" s="330" t="s">
        <v>425</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39">
        <v>7</v>
      </c>
      <c r="C3" s="839"/>
      <c r="D3" s="839"/>
      <c r="F3" s="255" t="s">
        <v>247</v>
      </c>
      <c r="G3" s="840">
        <f>【共通】!C5</f>
        <v>0</v>
      </c>
      <c r="H3" s="841"/>
      <c r="I3" s="842"/>
      <c r="J3" s="258"/>
      <c r="K3" s="843" t="s">
        <v>248</v>
      </c>
      <c r="L3" s="844"/>
      <c r="M3" s="845" t="s">
        <v>122</v>
      </c>
      <c r="N3" s="846"/>
      <c r="P3" s="256" t="s">
        <v>249</v>
      </c>
      <c r="Q3" s="847" t="str">
        <f>IFERROR(VLOOKUP(M3,【共通】!C11:F16,4,FALSE),"")</f>
        <v/>
      </c>
      <c r="R3" s="848"/>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1" t="s">
        <v>250</v>
      </c>
      <c r="C5" s="852"/>
      <c r="D5" s="853"/>
      <c r="E5" s="857">
        <f>B3-1</f>
        <v>6</v>
      </c>
      <c r="F5" s="858"/>
      <c r="G5" s="859"/>
      <c r="H5" s="857">
        <f>B3</f>
        <v>7</v>
      </c>
      <c r="I5" s="858"/>
      <c r="J5" s="858"/>
      <c r="K5" s="858"/>
      <c r="L5" s="858"/>
      <c r="M5" s="858"/>
      <c r="N5" s="858"/>
      <c r="O5" s="858"/>
      <c r="P5" s="859"/>
      <c r="Q5" s="860" t="s">
        <v>129</v>
      </c>
      <c r="R5" s="861"/>
      <c r="S5" s="243"/>
    </row>
    <row r="6" spans="2:31" ht="18" customHeight="1" thickBot="1">
      <c r="B6" s="854"/>
      <c r="C6" s="855"/>
      <c r="D6" s="856"/>
      <c r="E6" s="259" t="s">
        <v>302</v>
      </c>
      <c r="F6" s="259" t="s">
        <v>303</v>
      </c>
      <c r="G6" s="259" t="s">
        <v>304</v>
      </c>
      <c r="H6" s="259" t="s">
        <v>251</v>
      </c>
      <c r="I6" s="259" t="s">
        <v>252</v>
      </c>
      <c r="J6" s="259" t="s">
        <v>253</v>
      </c>
      <c r="K6" s="259" t="s">
        <v>254</v>
      </c>
      <c r="L6" s="259" t="s">
        <v>255</v>
      </c>
      <c r="M6" s="259" t="s">
        <v>256</v>
      </c>
      <c r="N6" s="259" t="s">
        <v>257</v>
      </c>
      <c r="O6" s="259" t="s">
        <v>258</v>
      </c>
      <c r="P6" s="260" t="s">
        <v>259</v>
      </c>
      <c r="Q6" s="862"/>
      <c r="R6" s="863"/>
      <c r="S6" s="243"/>
    </row>
    <row r="7" spans="2:31" ht="24.95" customHeight="1">
      <c r="B7" s="245"/>
      <c r="C7" s="267" t="s">
        <v>260</v>
      </c>
      <c r="D7" s="246"/>
      <c r="E7" s="261"/>
      <c r="F7" s="261"/>
      <c r="G7" s="261"/>
      <c r="H7" s="237"/>
      <c r="I7" s="237"/>
      <c r="J7" s="237"/>
      <c r="K7" s="237"/>
      <c r="L7" s="237"/>
      <c r="M7" s="237"/>
      <c r="N7" s="237"/>
      <c r="O7" s="237"/>
      <c r="P7" s="237"/>
      <c r="Q7" s="864"/>
      <c r="R7" s="865"/>
      <c r="S7" s="243"/>
    </row>
    <row r="8" spans="2:31" ht="24.95" customHeight="1">
      <c r="B8" s="247"/>
      <c r="C8" s="268" t="s">
        <v>261</v>
      </c>
      <c r="D8" s="248"/>
      <c r="E8" s="261"/>
      <c r="F8" s="261"/>
      <c r="G8" s="261"/>
      <c r="H8" s="238"/>
      <c r="I8" s="238"/>
      <c r="J8" s="238"/>
      <c r="K8" s="238"/>
      <c r="L8" s="238"/>
      <c r="M8" s="238"/>
      <c r="N8" s="238"/>
      <c r="O8" s="238"/>
      <c r="P8" s="238"/>
      <c r="Q8" s="864"/>
      <c r="R8" s="865"/>
      <c r="S8" s="243"/>
    </row>
    <row r="9" spans="2:31" ht="24.95" customHeight="1">
      <c r="B9" s="247"/>
      <c r="C9" s="268" t="s">
        <v>262</v>
      </c>
      <c r="D9" s="248"/>
      <c r="E9" s="261"/>
      <c r="F9" s="261"/>
      <c r="G9" s="261"/>
      <c r="H9" s="238"/>
      <c r="I9" s="238"/>
      <c r="J9" s="238"/>
      <c r="K9" s="238"/>
      <c r="L9" s="238"/>
      <c r="M9" s="238"/>
      <c r="N9" s="238"/>
      <c r="O9" s="238"/>
      <c r="P9" s="238"/>
      <c r="Q9" s="864"/>
      <c r="R9" s="865"/>
      <c r="S9" s="243"/>
    </row>
    <row r="10" spans="2:31" ht="24.95" customHeight="1">
      <c r="B10" s="247"/>
      <c r="C10" s="268" t="s">
        <v>263</v>
      </c>
      <c r="D10" s="248"/>
      <c r="E10" s="261"/>
      <c r="F10" s="261"/>
      <c r="G10" s="261"/>
      <c r="H10" s="238"/>
      <c r="I10" s="238"/>
      <c r="J10" s="238"/>
      <c r="K10" s="238"/>
      <c r="L10" s="238"/>
      <c r="M10" s="238"/>
      <c r="N10" s="238"/>
      <c r="O10" s="238"/>
      <c r="P10" s="238"/>
      <c r="Q10" s="864"/>
      <c r="R10" s="865"/>
      <c r="S10" s="243"/>
    </row>
    <row r="11" spans="2:31" ht="24.95" customHeight="1">
      <c r="B11" s="247"/>
      <c r="C11" s="268" t="s">
        <v>264</v>
      </c>
      <c r="D11" s="248"/>
      <c r="E11" s="261"/>
      <c r="F11" s="261"/>
      <c r="G11" s="261"/>
      <c r="H11" s="238"/>
      <c r="I11" s="238"/>
      <c r="J11" s="238"/>
      <c r="K11" s="238"/>
      <c r="L11" s="238"/>
      <c r="M11" s="238"/>
      <c r="N11" s="238"/>
      <c r="O11" s="238"/>
      <c r="P11" s="238"/>
      <c r="Q11" s="864"/>
      <c r="R11" s="865"/>
      <c r="S11" s="243"/>
    </row>
    <row r="12" spans="2:31" ht="24.95" customHeight="1">
      <c r="B12" s="247"/>
      <c r="C12" s="268" t="s">
        <v>265</v>
      </c>
      <c r="D12" s="248"/>
      <c r="E12" s="261"/>
      <c r="F12" s="261"/>
      <c r="G12" s="261"/>
      <c r="H12" s="238"/>
      <c r="I12" s="238"/>
      <c r="J12" s="238"/>
      <c r="K12" s="238"/>
      <c r="L12" s="238"/>
      <c r="M12" s="238"/>
      <c r="N12" s="238"/>
      <c r="O12" s="238"/>
      <c r="P12" s="238"/>
      <c r="Q12" s="864"/>
      <c r="R12" s="865"/>
      <c r="S12" s="243"/>
    </row>
    <row r="13" spans="2:31" ht="24.95" customHeight="1">
      <c r="B13" s="247"/>
      <c r="C13" s="268" t="s">
        <v>266</v>
      </c>
      <c r="D13" s="248"/>
      <c r="E13" s="261"/>
      <c r="F13" s="261"/>
      <c r="G13" s="261"/>
      <c r="H13" s="238"/>
      <c r="I13" s="238"/>
      <c r="J13" s="238"/>
      <c r="K13" s="238"/>
      <c r="L13" s="238"/>
      <c r="M13" s="238"/>
      <c r="N13" s="238"/>
      <c r="O13" s="238"/>
      <c r="P13" s="238"/>
      <c r="Q13" s="864"/>
      <c r="R13" s="865"/>
      <c r="S13" s="243"/>
    </row>
    <row r="14" spans="2:31" ht="24.95" customHeight="1">
      <c r="B14" s="247"/>
      <c r="C14" s="268" t="s">
        <v>267</v>
      </c>
      <c r="D14" s="248"/>
      <c r="E14" s="261"/>
      <c r="F14" s="261"/>
      <c r="G14" s="261"/>
      <c r="H14" s="238"/>
      <c r="I14" s="238"/>
      <c r="J14" s="238"/>
      <c r="K14" s="238"/>
      <c r="L14" s="238"/>
      <c r="M14" s="238"/>
      <c r="N14" s="238"/>
      <c r="O14" s="238"/>
      <c r="P14" s="238"/>
      <c r="Q14" s="864"/>
      <c r="R14" s="865"/>
      <c r="S14" s="243"/>
    </row>
    <row r="15" spans="2:31" ht="24.95" customHeight="1">
      <c r="B15" s="247"/>
      <c r="C15" s="268" t="s">
        <v>268</v>
      </c>
      <c r="D15" s="248"/>
      <c r="E15" s="261"/>
      <c r="F15" s="261"/>
      <c r="G15" s="261"/>
      <c r="H15" s="238"/>
      <c r="I15" s="238"/>
      <c r="J15" s="238"/>
      <c r="K15" s="238"/>
      <c r="L15" s="238"/>
      <c r="M15" s="238"/>
      <c r="N15" s="238"/>
      <c r="O15" s="238"/>
      <c r="P15" s="238"/>
      <c r="Q15" s="864"/>
      <c r="R15" s="865"/>
      <c r="S15" s="243"/>
    </row>
    <row r="16" spans="2:31" ht="24.95" customHeight="1">
      <c r="B16" s="247"/>
      <c r="C16" s="268" t="s">
        <v>269</v>
      </c>
      <c r="D16" s="248"/>
      <c r="E16" s="261"/>
      <c r="F16" s="261"/>
      <c r="G16" s="261"/>
      <c r="H16" s="238"/>
      <c r="I16" s="238"/>
      <c r="J16" s="238"/>
      <c r="K16" s="238"/>
      <c r="L16" s="238"/>
      <c r="M16" s="238"/>
      <c r="N16" s="238"/>
      <c r="O16" s="238"/>
      <c r="P16" s="238"/>
      <c r="Q16" s="864"/>
      <c r="R16" s="865"/>
      <c r="S16" s="243"/>
    </row>
    <row r="17" spans="2:19" ht="24.95" customHeight="1">
      <c r="B17" s="247"/>
      <c r="C17" s="268" t="s">
        <v>270</v>
      </c>
      <c r="D17" s="248"/>
      <c r="E17" s="261"/>
      <c r="F17" s="261"/>
      <c r="G17" s="261"/>
      <c r="H17" s="238"/>
      <c r="I17" s="238"/>
      <c r="J17" s="238"/>
      <c r="K17" s="238"/>
      <c r="L17" s="238"/>
      <c r="M17" s="238"/>
      <c r="N17" s="238"/>
      <c r="O17" s="238"/>
      <c r="P17" s="238"/>
      <c r="Q17" s="864"/>
      <c r="R17" s="865"/>
      <c r="S17" s="243"/>
    </row>
    <row r="18" spans="2:19" ht="24.95" customHeight="1">
      <c r="B18" s="247"/>
      <c r="C18" s="268" t="s">
        <v>271</v>
      </c>
      <c r="D18" s="248"/>
      <c r="E18" s="261"/>
      <c r="F18" s="261"/>
      <c r="G18" s="261"/>
      <c r="H18" s="238"/>
      <c r="I18" s="238"/>
      <c r="J18" s="238"/>
      <c r="K18" s="238"/>
      <c r="L18" s="238"/>
      <c r="M18" s="238"/>
      <c r="N18" s="238"/>
      <c r="O18" s="238"/>
      <c r="P18" s="238"/>
      <c r="Q18" s="864"/>
      <c r="R18" s="865"/>
      <c r="S18" s="243"/>
    </row>
    <row r="19" spans="2:19" ht="24.95" customHeight="1">
      <c r="B19" s="247"/>
      <c r="C19" s="268" t="s">
        <v>272</v>
      </c>
      <c r="D19" s="248"/>
      <c r="E19" s="261"/>
      <c r="F19" s="261"/>
      <c r="G19" s="261"/>
      <c r="H19" s="238"/>
      <c r="I19" s="238"/>
      <c r="J19" s="238"/>
      <c r="K19" s="238"/>
      <c r="L19" s="238"/>
      <c r="M19" s="238"/>
      <c r="N19" s="238"/>
      <c r="O19" s="238"/>
      <c r="P19" s="238"/>
      <c r="Q19" s="864"/>
      <c r="R19" s="865"/>
      <c r="S19" s="243"/>
    </row>
    <row r="20" spans="2:19" ht="24.95" customHeight="1">
      <c r="B20" s="247"/>
      <c r="C20" s="268" t="s">
        <v>273</v>
      </c>
      <c r="D20" s="248"/>
      <c r="E20" s="261"/>
      <c r="F20" s="261"/>
      <c r="G20" s="261"/>
      <c r="H20" s="238"/>
      <c r="I20" s="238"/>
      <c r="J20" s="238"/>
      <c r="K20" s="238"/>
      <c r="L20" s="238"/>
      <c r="M20" s="238"/>
      <c r="N20" s="238"/>
      <c r="O20" s="238"/>
      <c r="P20" s="238"/>
      <c r="Q20" s="864"/>
      <c r="R20" s="865"/>
      <c r="S20" s="243"/>
    </row>
    <row r="21" spans="2:19" ht="24.95" customHeight="1">
      <c r="B21" s="247"/>
      <c r="C21" s="268" t="s">
        <v>274</v>
      </c>
      <c r="D21" s="248"/>
      <c r="E21" s="261"/>
      <c r="F21" s="261"/>
      <c r="G21" s="261"/>
      <c r="H21" s="238"/>
      <c r="I21" s="238"/>
      <c r="J21" s="238"/>
      <c r="K21" s="238"/>
      <c r="L21" s="238"/>
      <c r="M21" s="238"/>
      <c r="N21" s="238"/>
      <c r="O21" s="238"/>
      <c r="P21" s="238"/>
      <c r="Q21" s="864"/>
      <c r="R21" s="865"/>
      <c r="S21" s="243"/>
    </row>
    <row r="22" spans="2:19" ht="24.95" customHeight="1">
      <c r="B22" s="247"/>
      <c r="C22" s="268" t="s">
        <v>275</v>
      </c>
      <c r="D22" s="248"/>
      <c r="E22" s="261"/>
      <c r="F22" s="261"/>
      <c r="G22" s="261"/>
      <c r="H22" s="238"/>
      <c r="I22" s="238"/>
      <c r="J22" s="238"/>
      <c r="K22" s="238"/>
      <c r="L22" s="238"/>
      <c r="M22" s="238"/>
      <c r="N22" s="238"/>
      <c r="O22" s="238"/>
      <c r="P22" s="238"/>
      <c r="Q22" s="864"/>
      <c r="R22" s="865"/>
      <c r="S22" s="243"/>
    </row>
    <row r="23" spans="2:19" ht="24.95" customHeight="1">
      <c r="B23" s="247"/>
      <c r="C23" s="268" t="s">
        <v>276</v>
      </c>
      <c r="D23" s="248"/>
      <c r="E23" s="261"/>
      <c r="F23" s="261"/>
      <c r="G23" s="261"/>
      <c r="H23" s="238"/>
      <c r="I23" s="238"/>
      <c r="J23" s="238"/>
      <c r="K23" s="238"/>
      <c r="L23" s="238"/>
      <c r="M23" s="238"/>
      <c r="N23" s="238"/>
      <c r="O23" s="238"/>
      <c r="P23" s="238"/>
      <c r="Q23" s="864"/>
      <c r="R23" s="865"/>
      <c r="S23" s="243"/>
    </row>
    <row r="24" spans="2:19" ht="24.95" customHeight="1">
      <c r="B24" s="247"/>
      <c r="C24" s="268" t="s">
        <v>277</v>
      </c>
      <c r="D24" s="248"/>
      <c r="E24" s="261"/>
      <c r="F24" s="261"/>
      <c r="G24" s="261"/>
      <c r="H24" s="238"/>
      <c r="I24" s="238"/>
      <c r="J24" s="238"/>
      <c r="K24" s="238"/>
      <c r="L24" s="238"/>
      <c r="M24" s="238"/>
      <c r="N24" s="238"/>
      <c r="O24" s="238"/>
      <c r="P24" s="238"/>
      <c r="Q24" s="864"/>
      <c r="R24" s="865"/>
      <c r="S24" s="243"/>
    </row>
    <row r="25" spans="2:19" ht="24.95" customHeight="1">
      <c r="B25" s="247"/>
      <c r="C25" s="268" t="s">
        <v>278</v>
      </c>
      <c r="D25" s="248"/>
      <c r="E25" s="261"/>
      <c r="F25" s="261"/>
      <c r="G25" s="261"/>
      <c r="H25" s="238"/>
      <c r="I25" s="238"/>
      <c r="J25" s="238"/>
      <c r="K25" s="238"/>
      <c r="L25" s="238"/>
      <c r="M25" s="238"/>
      <c r="N25" s="238"/>
      <c r="O25" s="238"/>
      <c r="P25" s="238"/>
      <c r="Q25" s="864"/>
      <c r="R25" s="865"/>
      <c r="S25" s="243"/>
    </row>
    <row r="26" spans="2:19" ht="24.95" customHeight="1">
      <c r="B26" s="247"/>
      <c r="C26" s="268" t="s">
        <v>279</v>
      </c>
      <c r="D26" s="248"/>
      <c r="E26" s="261"/>
      <c r="F26" s="261"/>
      <c r="G26" s="261"/>
      <c r="H26" s="238"/>
      <c r="I26" s="238"/>
      <c r="J26" s="238"/>
      <c r="K26" s="238"/>
      <c r="L26" s="238"/>
      <c r="M26" s="238"/>
      <c r="N26" s="238"/>
      <c r="O26" s="238"/>
      <c r="P26" s="238"/>
      <c r="Q26" s="864"/>
      <c r="R26" s="865"/>
      <c r="S26" s="243"/>
    </row>
    <row r="27" spans="2:19" ht="24.95" customHeight="1">
      <c r="B27" s="247"/>
      <c r="C27" s="268" t="s">
        <v>280</v>
      </c>
      <c r="D27" s="248"/>
      <c r="E27" s="261"/>
      <c r="F27" s="261"/>
      <c r="G27" s="261"/>
      <c r="H27" s="238"/>
      <c r="I27" s="238"/>
      <c r="J27" s="238"/>
      <c r="K27" s="238"/>
      <c r="L27" s="238"/>
      <c r="M27" s="238"/>
      <c r="N27" s="238"/>
      <c r="O27" s="238"/>
      <c r="P27" s="238"/>
      <c r="Q27" s="864"/>
      <c r="R27" s="865"/>
      <c r="S27" s="243"/>
    </row>
    <row r="28" spans="2:19" ht="24.95" customHeight="1">
      <c r="B28" s="247"/>
      <c r="C28" s="268" t="s">
        <v>281</v>
      </c>
      <c r="D28" s="248"/>
      <c r="E28" s="261"/>
      <c r="F28" s="261"/>
      <c r="G28" s="261"/>
      <c r="H28" s="238"/>
      <c r="I28" s="238"/>
      <c r="J28" s="238"/>
      <c r="K28" s="238"/>
      <c r="L28" s="238"/>
      <c r="M28" s="238"/>
      <c r="N28" s="238"/>
      <c r="O28" s="238"/>
      <c r="P28" s="238"/>
      <c r="Q28" s="864"/>
      <c r="R28" s="865"/>
      <c r="S28" s="243"/>
    </row>
    <row r="29" spans="2:19" ht="24.95" customHeight="1">
      <c r="B29" s="247"/>
      <c r="C29" s="268" t="s">
        <v>282</v>
      </c>
      <c r="D29" s="248"/>
      <c r="E29" s="261"/>
      <c r="F29" s="261"/>
      <c r="G29" s="261"/>
      <c r="H29" s="238"/>
      <c r="I29" s="238"/>
      <c r="J29" s="238"/>
      <c r="K29" s="238"/>
      <c r="L29" s="238"/>
      <c r="M29" s="238"/>
      <c r="N29" s="238"/>
      <c r="O29" s="238"/>
      <c r="P29" s="238"/>
      <c r="Q29" s="864"/>
      <c r="R29" s="865"/>
      <c r="S29" s="243"/>
    </row>
    <row r="30" spans="2:19" ht="24.95" customHeight="1">
      <c r="B30" s="247"/>
      <c r="C30" s="268" t="s">
        <v>283</v>
      </c>
      <c r="D30" s="248"/>
      <c r="E30" s="261"/>
      <c r="F30" s="261"/>
      <c r="G30" s="261"/>
      <c r="H30" s="238"/>
      <c r="I30" s="238"/>
      <c r="J30" s="238"/>
      <c r="K30" s="238"/>
      <c r="L30" s="238"/>
      <c r="M30" s="238"/>
      <c r="N30" s="238"/>
      <c r="O30" s="238"/>
      <c r="P30" s="238"/>
      <c r="Q30" s="864"/>
      <c r="R30" s="865"/>
      <c r="S30" s="243"/>
    </row>
    <row r="31" spans="2:19" ht="24.95" customHeight="1">
      <c r="B31" s="247"/>
      <c r="C31" s="268" t="s">
        <v>284</v>
      </c>
      <c r="D31" s="248"/>
      <c r="E31" s="261"/>
      <c r="F31" s="261"/>
      <c r="G31" s="261"/>
      <c r="H31" s="238"/>
      <c r="I31" s="238"/>
      <c r="J31" s="238"/>
      <c r="K31" s="238"/>
      <c r="L31" s="238"/>
      <c r="M31" s="238"/>
      <c r="N31" s="238"/>
      <c r="O31" s="238"/>
      <c r="P31" s="238"/>
      <c r="Q31" s="864"/>
      <c r="R31" s="865"/>
      <c r="S31" s="243"/>
    </row>
    <row r="32" spans="2:19" ht="24.95" customHeight="1">
      <c r="B32" s="247"/>
      <c r="C32" s="268" t="s">
        <v>285</v>
      </c>
      <c r="D32" s="248"/>
      <c r="E32" s="261"/>
      <c r="F32" s="261"/>
      <c r="G32" s="261"/>
      <c r="H32" s="238"/>
      <c r="I32" s="238"/>
      <c r="J32" s="238"/>
      <c r="K32" s="238"/>
      <c r="L32" s="238"/>
      <c r="M32" s="238"/>
      <c r="N32" s="238"/>
      <c r="O32" s="238"/>
      <c r="P32" s="238"/>
      <c r="Q32" s="864"/>
      <c r="R32" s="865"/>
      <c r="S32" s="243"/>
    </row>
    <row r="33" spans="2:20" ht="24.95" customHeight="1">
      <c r="B33" s="247"/>
      <c r="C33" s="268" t="s">
        <v>286</v>
      </c>
      <c r="D33" s="248"/>
      <c r="E33" s="261"/>
      <c r="F33" s="261"/>
      <c r="G33" s="261"/>
      <c r="H33" s="238"/>
      <c r="I33" s="238"/>
      <c r="J33" s="238"/>
      <c r="K33" s="238"/>
      <c r="L33" s="238"/>
      <c r="M33" s="238"/>
      <c r="N33" s="238"/>
      <c r="O33" s="238"/>
      <c r="P33" s="238"/>
      <c r="Q33" s="864"/>
      <c r="R33" s="865"/>
      <c r="S33" s="243"/>
    </row>
    <row r="34" spans="2:20" ht="24.95" customHeight="1">
      <c r="B34" s="247"/>
      <c r="C34" s="268" t="s">
        <v>287</v>
      </c>
      <c r="D34" s="248"/>
      <c r="E34" s="261"/>
      <c r="F34" s="261"/>
      <c r="G34" s="261"/>
      <c r="H34" s="238"/>
      <c r="I34" s="238"/>
      <c r="J34" s="238"/>
      <c r="K34" s="238"/>
      <c r="L34" s="238"/>
      <c r="M34" s="238"/>
      <c r="N34" s="238"/>
      <c r="O34" s="238"/>
      <c r="P34" s="238"/>
      <c r="Q34" s="864"/>
      <c r="R34" s="865"/>
      <c r="S34" s="243"/>
    </row>
    <row r="35" spans="2:20" ht="24.95" customHeight="1">
      <c r="B35" s="247"/>
      <c r="C35" s="268" t="s">
        <v>288</v>
      </c>
      <c r="D35" s="248"/>
      <c r="E35" s="261"/>
      <c r="F35" s="261"/>
      <c r="G35" s="261"/>
      <c r="H35" s="238"/>
      <c r="I35" s="238"/>
      <c r="J35" s="238"/>
      <c r="K35" s="238"/>
      <c r="L35" s="238"/>
      <c r="M35" s="238"/>
      <c r="N35" s="238"/>
      <c r="O35" s="238"/>
      <c r="P35" s="238"/>
      <c r="Q35" s="864"/>
      <c r="R35" s="865"/>
      <c r="S35" s="243"/>
    </row>
    <row r="36" spans="2:20" ht="24.95" customHeight="1">
      <c r="B36" s="247"/>
      <c r="C36" s="268" t="s">
        <v>289</v>
      </c>
      <c r="D36" s="248"/>
      <c r="E36" s="261"/>
      <c r="F36" s="263"/>
      <c r="G36" s="261"/>
      <c r="H36" s="238"/>
      <c r="I36" s="238"/>
      <c r="J36" s="238"/>
      <c r="K36" s="238"/>
      <c r="L36" s="238"/>
      <c r="M36" s="238"/>
      <c r="N36" s="238"/>
      <c r="O36" s="238"/>
      <c r="P36" s="238"/>
      <c r="Q36" s="864"/>
      <c r="R36" s="865"/>
      <c r="S36" s="243"/>
    </row>
    <row r="37" spans="2:20" ht="24.95" customHeight="1" thickBot="1">
      <c r="B37" s="249"/>
      <c r="C37" s="269" t="s">
        <v>290</v>
      </c>
      <c r="D37" s="248"/>
      <c r="E37" s="261"/>
      <c r="F37" s="262"/>
      <c r="G37" s="261"/>
      <c r="H37" s="219"/>
      <c r="I37" s="238"/>
      <c r="J37" s="219"/>
      <c r="K37" s="238"/>
      <c r="L37" s="239"/>
      <c r="M37" s="219"/>
      <c r="N37" s="238"/>
      <c r="O37" s="219"/>
      <c r="P37" s="238"/>
      <c r="Q37" s="862"/>
      <c r="R37" s="863"/>
      <c r="S37" s="243"/>
    </row>
    <row r="38" spans="2:20" ht="27.95" customHeight="1" thickBot="1">
      <c r="B38" s="880" t="s">
        <v>418</v>
      </c>
      <c r="C38" s="849"/>
      <c r="D38" s="846"/>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81"/>
      <c r="R38" s="882"/>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50"/>
      <c r="D40" s="850"/>
      <c r="E40" s="850"/>
      <c r="F40" s="850"/>
      <c r="G40" s="850"/>
      <c r="H40" s="850"/>
      <c r="I40" s="850"/>
      <c r="J40" s="850"/>
      <c r="K40" s="850"/>
      <c r="L40" s="850"/>
      <c r="M40" s="850"/>
      <c r="N40" s="850"/>
      <c r="O40" s="850"/>
      <c r="P40" s="850"/>
      <c r="Q40" s="850"/>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38:D38"/>
    <mergeCell ref="G3:I3"/>
    <mergeCell ref="C40:Q40"/>
    <mergeCell ref="Q38:R38"/>
    <mergeCell ref="Q7:R37"/>
    <mergeCell ref="Q3:R3"/>
    <mergeCell ref="B1:R1"/>
    <mergeCell ref="H5:P5"/>
    <mergeCell ref="E5:G5"/>
    <mergeCell ref="Q5:R6"/>
    <mergeCell ref="B5:D6"/>
    <mergeCell ref="K3:L3"/>
    <mergeCell ref="M3:N3"/>
    <mergeCell ref="B3:D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F6" sqref="F6"/>
    </sheetView>
  </sheetViews>
  <sheetFormatPr defaultRowHeight="21" customHeight="1"/>
  <cols>
    <col min="1" max="4" width="3.25" style="316" customWidth="1"/>
    <col min="5" max="12" width="3.25" style="297" customWidth="1"/>
    <col min="13" max="48" width="3.375" style="297" customWidth="1"/>
    <col min="49" max="51" width="3.25" style="297" customWidth="1"/>
    <col min="52" max="52" width="3.625" style="297" customWidth="1"/>
    <col min="53" max="72" width="2.625" style="297" customWidth="1"/>
    <col min="73" max="256" width="9" style="297"/>
    <col min="257" max="268" width="3.25" style="297" customWidth="1"/>
    <col min="269" max="304" width="3.375" style="297" customWidth="1"/>
    <col min="305" max="307" width="3.25" style="297" customWidth="1"/>
    <col min="308" max="308" width="3.625" style="297" customWidth="1"/>
    <col min="309" max="328" width="2.625" style="297" customWidth="1"/>
    <col min="329" max="512" width="9" style="297"/>
    <col min="513" max="524" width="3.25" style="297" customWidth="1"/>
    <col min="525" max="560" width="3.375" style="297" customWidth="1"/>
    <col min="561" max="563" width="3.25" style="297" customWidth="1"/>
    <col min="564" max="564" width="3.625" style="297" customWidth="1"/>
    <col min="565" max="584" width="2.625" style="297" customWidth="1"/>
    <col min="585" max="768" width="9" style="297"/>
    <col min="769" max="780" width="3.25" style="297" customWidth="1"/>
    <col min="781" max="816" width="3.375" style="297" customWidth="1"/>
    <col min="817" max="819" width="3.25" style="297" customWidth="1"/>
    <col min="820" max="820" width="3.625" style="297" customWidth="1"/>
    <col min="821" max="840" width="2.625" style="297" customWidth="1"/>
    <col min="841" max="1024" width="9" style="297"/>
    <col min="1025" max="1036" width="3.25" style="297" customWidth="1"/>
    <col min="1037" max="1072" width="3.375" style="297" customWidth="1"/>
    <col min="1073" max="1075" width="3.25" style="297" customWidth="1"/>
    <col min="1076" max="1076" width="3.625" style="297" customWidth="1"/>
    <col min="1077" max="1096" width="2.625" style="297" customWidth="1"/>
    <col min="1097" max="1280" width="9" style="297"/>
    <col min="1281" max="1292" width="3.25" style="297" customWidth="1"/>
    <col min="1293" max="1328" width="3.375" style="297" customWidth="1"/>
    <col min="1329" max="1331" width="3.25" style="297" customWidth="1"/>
    <col min="1332" max="1332" width="3.625" style="297" customWidth="1"/>
    <col min="1333" max="1352" width="2.625" style="297" customWidth="1"/>
    <col min="1353" max="1536" width="9" style="297"/>
    <col min="1537" max="1548" width="3.25" style="297" customWidth="1"/>
    <col min="1549" max="1584" width="3.375" style="297" customWidth="1"/>
    <col min="1585" max="1587" width="3.25" style="297" customWidth="1"/>
    <col min="1588" max="1588" width="3.625" style="297" customWidth="1"/>
    <col min="1589" max="1608" width="2.625" style="297" customWidth="1"/>
    <col min="1609" max="1792" width="9" style="297"/>
    <col min="1793" max="1804" width="3.25" style="297" customWidth="1"/>
    <col min="1805" max="1840" width="3.375" style="297" customWidth="1"/>
    <col min="1841" max="1843" width="3.25" style="297" customWidth="1"/>
    <col min="1844" max="1844" width="3.625" style="297" customWidth="1"/>
    <col min="1845" max="1864" width="2.625" style="297" customWidth="1"/>
    <col min="1865" max="2048" width="9" style="297"/>
    <col min="2049" max="2060" width="3.25" style="297" customWidth="1"/>
    <col min="2061" max="2096" width="3.375" style="297" customWidth="1"/>
    <col min="2097" max="2099" width="3.25" style="297" customWidth="1"/>
    <col min="2100" max="2100" width="3.625" style="297" customWidth="1"/>
    <col min="2101" max="2120" width="2.625" style="297" customWidth="1"/>
    <col min="2121" max="2304" width="9" style="297"/>
    <col min="2305" max="2316" width="3.25" style="297" customWidth="1"/>
    <col min="2317" max="2352" width="3.375" style="297" customWidth="1"/>
    <col min="2353" max="2355" width="3.25" style="297" customWidth="1"/>
    <col min="2356" max="2356" width="3.625" style="297" customWidth="1"/>
    <col min="2357" max="2376" width="2.625" style="297" customWidth="1"/>
    <col min="2377" max="2560" width="9" style="297"/>
    <col min="2561" max="2572" width="3.25" style="297" customWidth="1"/>
    <col min="2573" max="2608" width="3.375" style="297" customWidth="1"/>
    <col min="2609" max="2611" width="3.25" style="297" customWidth="1"/>
    <col min="2612" max="2612" width="3.625" style="297" customWidth="1"/>
    <col min="2613" max="2632" width="2.625" style="297" customWidth="1"/>
    <col min="2633" max="2816" width="9" style="297"/>
    <col min="2817" max="2828" width="3.25" style="297" customWidth="1"/>
    <col min="2829" max="2864" width="3.375" style="297" customWidth="1"/>
    <col min="2865" max="2867" width="3.25" style="297" customWidth="1"/>
    <col min="2868" max="2868" width="3.625" style="297" customWidth="1"/>
    <col min="2869" max="2888" width="2.625" style="297" customWidth="1"/>
    <col min="2889" max="3072" width="9" style="297"/>
    <col min="3073" max="3084" width="3.25" style="297" customWidth="1"/>
    <col min="3085" max="3120" width="3.375" style="297" customWidth="1"/>
    <col min="3121" max="3123" width="3.25" style="297" customWidth="1"/>
    <col min="3124" max="3124" width="3.625" style="297" customWidth="1"/>
    <col min="3125" max="3144" width="2.625" style="297" customWidth="1"/>
    <col min="3145" max="3328" width="9" style="297"/>
    <col min="3329" max="3340" width="3.25" style="297" customWidth="1"/>
    <col min="3341" max="3376" width="3.375" style="297" customWidth="1"/>
    <col min="3377" max="3379" width="3.25" style="297" customWidth="1"/>
    <col min="3380" max="3380" width="3.625" style="297" customWidth="1"/>
    <col min="3381" max="3400" width="2.625" style="297" customWidth="1"/>
    <col min="3401" max="3584" width="9" style="297"/>
    <col min="3585" max="3596" width="3.25" style="297" customWidth="1"/>
    <col min="3597" max="3632" width="3.375" style="297" customWidth="1"/>
    <col min="3633" max="3635" width="3.25" style="297" customWidth="1"/>
    <col min="3636" max="3636" width="3.625" style="297" customWidth="1"/>
    <col min="3637" max="3656" width="2.625" style="297" customWidth="1"/>
    <col min="3657" max="3840" width="9" style="297"/>
    <col min="3841" max="3852" width="3.25" style="297" customWidth="1"/>
    <col min="3853" max="3888" width="3.375" style="297" customWidth="1"/>
    <col min="3889" max="3891" width="3.25" style="297" customWidth="1"/>
    <col min="3892" max="3892" width="3.625" style="297" customWidth="1"/>
    <col min="3893" max="3912" width="2.625" style="297" customWidth="1"/>
    <col min="3913" max="4096" width="9" style="297"/>
    <col min="4097" max="4108" width="3.25" style="297" customWidth="1"/>
    <col min="4109" max="4144" width="3.375" style="297" customWidth="1"/>
    <col min="4145" max="4147" width="3.25" style="297" customWidth="1"/>
    <col min="4148" max="4148" width="3.625" style="297" customWidth="1"/>
    <col min="4149" max="4168" width="2.625" style="297" customWidth="1"/>
    <col min="4169" max="4352" width="9" style="297"/>
    <col min="4353" max="4364" width="3.25" style="297" customWidth="1"/>
    <col min="4365" max="4400" width="3.375" style="297" customWidth="1"/>
    <col min="4401" max="4403" width="3.25" style="297" customWidth="1"/>
    <col min="4404" max="4404" width="3.625" style="297" customWidth="1"/>
    <col min="4405" max="4424" width="2.625" style="297" customWidth="1"/>
    <col min="4425" max="4608" width="9" style="297"/>
    <col min="4609" max="4620" width="3.25" style="297" customWidth="1"/>
    <col min="4621" max="4656" width="3.375" style="297" customWidth="1"/>
    <col min="4657" max="4659" width="3.25" style="297" customWidth="1"/>
    <col min="4660" max="4660" width="3.625" style="297" customWidth="1"/>
    <col min="4661" max="4680" width="2.625" style="297" customWidth="1"/>
    <col min="4681" max="4864" width="9" style="297"/>
    <col min="4865" max="4876" width="3.25" style="297" customWidth="1"/>
    <col min="4877" max="4912" width="3.375" style="297" customWidth="1"/>
    <col min="4913" max="4915" width="3.25" style="297" customWidth="1"/>
    <col min="4916" max="4916" width="3.625" style="297" customWidth="1"/>
    <col min="4917" max="4936" width="2.625" style="297" customWidth="1"/>
    <col min="4937" max="5120" width="9" style="297"/>
    <col min="5121" max="5132" width="3.25" style="297" customWidth="1"/>
    <col min="5133" max="5168" width="3.375" style="297" customWidth="1"/>
    <col min="5169" max="5171" width="3.25" style="297" customWidth="1"/>
    <col min="5172" max="5172" width="3.625" style="297" customWidth="1"/>
    <col min="5173" max="5192" width="2.625" style="297" customWidth="1"/>
    <col min="5193" max="5376" width="9" style="297"/>
    <col min="5377" max="5388" width="3.25" style="297" customWidth="1"/>
    <col min="5389" max="5424" width="3.375" style="297" customWidth="1"/>
    <col min="5425" max="5427" width="3.25" style="297" customWidth="1"/>
    <col min="5428" max="5428" width="3.625" style="297" customWidth="1"/>
    <col min="5429" max="5448" width="2.625" style="297" customWidth="1"/>
    <col min="5449" max="5632" width="9" style="297"/>
    <col min="5633" max="5644" width="3.25" style="297" customWidth="1"/>
    <col min="5645" max="5680" width="3.375" style="297" customWidth="1"/>
    <col min="5681" max="5683" width="3.25" style="297" customWidth="1"/>
    <col min="5684" max="5684" width="3.625" style="297" customWidth="1"/>
    <col min="5685" max="5704" width="2.625" style="297" customWidth="1"/>
    <col min="5705" max="5888" width="9" style="297"/>
    <col min="5889" max="5900" width="3.25" style="297" customWidth="1"/>
    <col min="5901" max="5936" width="3.375" style="297" customWidth="1"/>
    <col min="5937" max="5939" width="3.25" style="297" customWidth="1"/>
    <col min="5940" max="5940" width="3.625" style="297" customWidth="1"/>
    <col min="5941" max="5960" width="2.625" style="297" customWidth="1"/>
    <col min="5961" max="6144" width="9" style="297"/>
    <col min="6145" max="6156" width="3.25" style="297" customWidth="1"/>
    <col min="6157" max="6192" width="3.375" style="297" customWidth="1"/>
    <col min="6193" max="6195" width="3.25" style="297" customWidth="1"/>
    <col min="6196" max="6196" width="3.625" style="297" customWidth="1"/>
    <col min="6197" max="6216" width="2.625" style="297" customWidth="1"/>
    <col min="6217" max="6400" width="9" style="297"/>
    <col min="6401" max="6412" width="3.25" style="297" customWidth="1"/>
    <col min="6413" max="6448" width="3.375" style="297" customWidth="1"/>
    <col min="6449" max="6451" width="3.25" style="297" customWidth="1"/>
    <col min="6452" max="6452" width="3.625" style="297" customWidth="1"/>
    <col min="6453" max="6472" width="2.625" style="297" customWidth="1"/>
    <col min="6473" max="6656" width="9" style="297"/>
    <col min="6657" max="6668" width="3.25" style="297" customWidth="1"/>
    <col min="6669" max="6704" width="3.375" style="297" customWidth="1"/>
    <col min="6705" max="6707" width="3.25" style="297" customWidth="1"/>
    <col min="6708" max="6708" width="3.625" style="297" customWidth="1"/>
    <col min="6709" max="6728" width="2.625" style="297" customWidth="1"/>
    <col min="6729" max="6912" width="9" style="297"/>
    <col min="6913" max="6924" width="3.25" style="297" customWidth="1"/>
    <col min="6925" max="6960" width="3.375" style="297" customWidth="1"/>
    <col min="6961" max="6963" width="3.25" style="297" customWidth="1"/>
    <col min="6964" max="6964" width="3.625" style="297" customWidth="1"/>
    <col min="6965" max="6984" width="2.625" style="297" customWidth="1"/>
    <col min="6985" max="7168" width="9" style="297"/>
    <col min="7169" max="7180" width="3.25" style="297" customWidth="1"/>
    <col min="7181" max="7216" width="3.375" style="297" customWidth="1"/>
    <col min="7217" max="7219" width="3.25" style="297" customWidth="1"/>
    <col min="7220" max="7220" width="3.625" style="297" customWidth="1"/>
    <col min="7221" max="7240" width="2.625" style="297" customWidth="1"/>
    <col min="7241" max="7424" width="9" style="297"/>
    <col min="7425" max="7436" width="3.25" style="297" customWidth="1"/>
    <col min="7437" max="7472" width="3.375" style="297" customWidth="1"/>
    <col min="7473" max="7475" width="3.25" style="297" customWidth="1"/>
    <col min="7476" max="7476" width="3.625" style="297" customWidth="1"/>
    <col min="7477" max="7496" width="2.625" style="297" customWidth="1"/>
    <col min="7497" max="7680" width="9" style="297"/>
    <col min="7681" max="7692" width="3.25" style="297" customWidth="1"/>
    <col min="7693" max="7728" width="3.375" style="297" customWidth="1"/>
    <col min="7729" max="7731" width="3.25" style="297" customWidth="1"/>
    <col min="7732" max="7732" width="3.625" style="297" customWidth="1"/>
    <col min="7733" max="7752" width="2.625" style="297" customWidth="1"/>
    <col min="7753" max="7936" width="9" style="297"/>
    <col min="7937" max="7948" width="3.25" style="297" customWidth="1"/>
    <col min="7949" max="7984" width="3.375" style="297" customWidth="1"/>
    <col min="7985" max="7987" width="3.25" style="297" customWidth="1"/>
    <col min="7988" max="7988" width="3.625" style="297" customWidth="1"/>
    <col min="7989" max="8008" width="2.625" style="297" customWidth="1"/>
    <col min="8009" max="8192" width="9" style="297"/>
    <col min="8193" max="8204" width="3.25" style="297" customWidth="1"/>
    <col min="8205" max="8240" width="3.375" style="297" customWidth="1"/>
    <col min="8241" max="8243" width="3.25" style="297" customWidth="1"/>
    <col min="8244" max="8244" width="3.625" style="297" customWidth="1"/>
    <col min="8245" max="8264" width="2.625" style="297" customWidth="1"/>
    <col min="8265" max="8448" width="9" style="297"/>
    <col min="8449" max="8460" width="3.25" style="297" customWidth="1"/>
    <col min="8461" max="8496" width="3.375" style="297" customWidth="1"/>
    <col min="8497" max="8499" width="3.25" style="297" customWidth="1"/>
    <col min="8500" max="8500" width="3.625" style="297" customWidth="1"/>
    <col min="8501" max="8520" width="2.625" style="297" customWidth="1"/>
    <col min="8521" max="8704" width="9" style="297"/>
    <col min="8705" max="8716" width="3.25" style="297" customWidth="1"/>
    <col min="8717" max="8752" width="3.375" style="297" customWidth="1"/>
    <col min="8753" max="8755" width="3.25" style="297" customWidth="1"/>
    <col min="8756" max="8756" width="3.625" style="297" customWidth="1"/>
    <col min="8757" max="8776" width="2.625" style="297" customWidth="1"/>
    <col min="8777" max="8960" width="9" style="297"/>
    <col min="8961" max="8972" width="3.25" style="297" customWidth="1"/>
    <col min="8973" max="9008" width="3.375" style="297" customWidth="1"/>
    <col min="9009" max="9011" width="3.25" style="297" customWidth="1"/>
    <col min="9012" max="9012" width="3.625" style="297" customWidth="1"/>
    <col min="9013" max="9032" width="2.625" style="297" customWidth="1"/>
    <col min="9033" max="9216" width="9" style="297"/>
    <col min="9217" max="9228" width="3.25" style="297" customWidth="1"/>
    <col min="9229" max="9264" width="3.375" style="297" customWidth="1"/>
    <col min="9265" max="9267" width="3.25" style="297" customWidth="1"/>
    <col min="9268" max="9268" width="3.625" style="297" customWidth="1"/>
    <col min="9269" max="9288" width="2.625" style="297" customWidth="1"/>
    <col min="9289" max="9472" width="9" style="297"/>
    <col min="9473" max="9484" width="3.25" style="297" customWidth="1"/>
    <col min="9485" max="9520" width="3.375" style="297" customWidth="1"/>
    <col min="9521" max="9523" width="3.25" style="297" customWidth="1"/>
    <col min="9524" max="9524" width="3.625" style="297" customWidth="1"/>
    <col min="9525" max="9544" width="2.625" style="297" customWidth="1"/>
    <col min="9545" max="9728" width="9" style="297"/>
    <col min="9729" max="9740" width="3.25" style="297" customWidth="1"/>
    <col min="9741" max="9776" width="3.375" style="297" customWidth="1"/>
    <col min="9777" max="9779" width="3.25" style="297" customWidth="1"/>
    <col min="9780" max="9780" width="3.625" style="297" customWidth="1"/>
    <col min="9781" max="9800" width="2.625" style="297" customWidth="1"/>
    <col min="9801" max="9984" width="9" style="297"/>
    <col min="9985" max="9996" width="3.25" style="297" customWidth="1"/>
    <col min="9997" max="10032" width="3.375" style="297" customWidth="1"/>
    <col min="10033" max="10035" width="3.25" style="297" customWidth="1"/>
    <col min="10036" max="10036" width="3.625" style="297" customWidth="1"/>
    <col min="10037" max="10056" width="2.625" style="297" customWidth="1"/>
    <col min="10057" max="10240" width="9" style="297"/>
    <col min="10241" max="10252" width="3.25" style="297" customWidth="1"/>
    <col min="10253" max="10288" width="3.375" style="297" customWidth="1"/>
    <col min="10289" max="10291" width="3.25" style="297" customWidth="1"/>
    <col min="10292" max="10292" width="3.625" style="297" customWidth="1"/>
    <col min="10293" max="10312" width="2.625" style="297" customWidth="1"/>
    <col min="10313" max="10496" width="9" style="297"/>
    <col min="10497" max="10508" width="3.25" style="297" customWidth="1"/>
    <col min="10509" max="10544" width="3.375" style="297" customWidth="1"/>
    <col min="10545" max="10547" width="3.25" style="297" customWidth="1"/>
    <col min="10548" max="10548" width="3.625" style="297" customWidth="1"/>
    <col min="10549" max="10568" width="2.625" style="297" customWidth="1"/>
    <col min="10569" max="10752" width="9" style="297"/>
    <col min="10753" max="10764" width="3.25" style="297" customWidth="1"/>
    <col min="10765" max="10800" width="3.375" style="297" customWidth="1"/>
    <col min="10801" max="10803" width="3.25" style="297" customWidth="1"/>
    <col min="10804" max="10804" width="3.625" style="297" customWidth="1"/>
    <col min="10805" max="10824" width="2.625" style="297" customWidth="1"/>
    <col min="10825" max="11008" width="9" style="297"/>
    <col min="11009" max="11020" width="3.25" style="297" customWidth="1"/>
    <col min="11021" max="11056" width="3.375" style="297" customWidth="1"/>
    <col min="11057" max="11059" width="3.25" style="297" customWidth="1"/>
    <col min="11060" max="11060" width="3.625" style="297" customWidth="1"/>
    <col min="11061" max="11080" width="2.625" style="297" customWidth="1"/>
    <col min="11081" max="11264" width="9" style="297"/>
    <col min="11265" max="11276" width="3.25" style="297" customWidth="1"/>
    <col min="11277" max="11312" width="3.375" style="297" customWidth="1"/>
    <col min="11313" max="11315" width="3.25" style="297" customWidth="1"/>
    <col min="11316" max="11316" width="3.625" style="297" customWidth="1"/>
    <col min="11317" max="11336" width="2.625" style="297" customWidth="1"/>
    <col min="11337" max="11520" width="9" style="297"/>
    <col min="11521" max="11532" width="3.25" style="297" customWidth="1"/>
    <col min="11533" max="11568" width="3.375" style="297" customWidth="1"/>
    <col min="11569" max="11571" width="3.25" style="297" customWidth="1"/>
    <col min="11572" max="11572" width="3.625" style="297" customWidth="1"/>
    <col min="11573" max="11592" width="2.625" style="297" customWidth="1"/>
    <col min="11593" max="11776" width="9" style="297"/>
    <col min="11777" max="11788" width="3.25" style="297" customWidth="1"/>
    <col min="11789" max="11824" width="3.375" style="297" customWidth="1"/>
    <col min="11825" max="11827" width="3.25" style="297" customWidth="1"/>
    <col min="11828" max="11828" width="3.625" style="297" customWidth="1"/>
    <col min="11829" max="11848" width="2.625" style="297" customWidth="1"/>
    <col min="11849" max="12032" width="9" style="297"/>
    <col min="12033" max="12044" width="3.25" style="297" customWidth="1"/>
    <col min="12045" max="12080" width="3.375" style="297" customWidth="1"/>
    <col min="12081" max="12083" width="3.25" style="297" customWidth="1"/>
    <col min="12084" max="12084" width="3.625" style="297" customWidth="1"/>
    <col min="12085" max="12104" width="2.625" style="297" customWidth="1"/>
    <col min="12105" max="12288" width="9" style="297"/>
    <col min="12289" max="12300" width="3.25" style="297" customWidth="1"/>
    <col min="12301" max="12336" width="3.375" style="297" customWidth="1"/>
    <col min="12337" max="12339" width="3.25" style="297" customWidth="1"/>
    <col min="12340" max="12340" width="3.625" style="297" customWidth="1"/>
    <col min="12341" max="12360" width="2.625" style="297" customWidth="1"/>
    <col min="12361" max="12544" width="9" style="297"/>
    <col min="12545" max="12556" width="3.25" style="297" customWidth="1"/>
    <col min="12557" max="12592" width="3.375" style="297" customWidth="1"/>
    <col min="12593" max="12595" width="3.25" style="297" customWidth="1"/>
    <col min="12596" max="12596" width="3.625" style="297" customWidth="1"/>
    <col min="12597" max="12616" width="2.625" style="297" customWidth="1"/>
    <col min="12617" max="12800" width="9" style="297"/>
    <col min="12801" max="12812" width="3.25" style="297" customWidth="1"/>
    <col min="12813" max="12848" width="3.375" style="297" customWidth="1"/>
    <col min="12849" max="12851" width="3.25" style="297" customWidth="1"/>
    <col min="12852" max="12852" width="3.625" style="297" customWidth="1"/>
    <col min="12853" max="12872" width="2.625" style="297" customWidth="1"/>
    <col min="12873" max="13056" width="9" style="297"/>
    <col min="13057" max="13068" width="3.25" style="297" customWidth="1"/>
    <col min="13069" max="13104" width="3.375" style="297" customWidth="1"/>
    <col min="13105" max="13107" width="3.25" style="297" customWidth="1"/>
    <col min="13108" max="13108" width="3.625" style="297" customWidth="1"/>
    <col min="13109" max="13128" width="2.625" style="297" customWidth="1"/>
    <col min="13129" max="13312" width="9" style="297"/>
    <col min="13313" max="13324" width="3.25" style="297" customWidth="1"/>
    <col min="13325" max="13360" width="3.375" style="297" customWidth="1"/>
    <col min="13361" max="13363" width="3.25" style="297" customWidth="1"/>
    <col min="13364" max="13364" width="3.625" style="297" customWidth="1"/>
    <col min="13365" max="13384" width="2.625" style="297" customWidth="1"/>
    <col min="13385" max="13568" width="9" style="297"/>
    <col min="13569" max="13580" width="3.25" style="297" customWidth="1"/>
    <col min="13581" max="13616" width="3.375" style="297" customWidth="1"/>
    <col min="13617" max="13619" width="3.25" style="297" customWidth="1"/>
    <col min="13620" max="13620" width="3.625" style="297" customWidth="1"/>
    <col min="13621" max="13640" width="2.625" style="297" customWidth="1"/>
    <col min="13641" max="13824" width="9" style="297"/>
    <col min="13825" max="13836" width="3.25" style="297" customWidth="1"/>
    <col min="13837" max="13872" width="3.375" style="297" customWidth="1"/>
    <col min="13873" max="13875" width="3.25" style="297" customWidth="1"/>
    <col min="13876" max="13876" width="3.625" style="297" customWidth="1"/>
    <col min="13877" max="13896" width="2.625" style="297" customWidth="1"/>
    <col min="13897" max="14080" width="9" style="297"/>
    <col min="14081" max="14092" width="3.25" style="297" customWidth="1"/>
    <col min="14093" max="14128" width="3.375" style="297" customWidth="1"/>
    <col min="14129" max="14131" width="3.25" style="297" customWidth="1"/>
    <col min="14132" max="14132" width="3.625" style="297" customWidth="1"/>
    <col min="14133" max="14152" width="2.625" style="297" customWidth="1"/>
    <col min="14153" max="14336" width="9" style="297"/>
    <col min="14337" max="14348" width="3.25" style="297" customWidth="1"/>
    <col min="14349" max="14384" width="3.375" style="297" customWidth="1"/>
    <col min="14385" max="14387" width="3.25" style="297" customWidth="1"/>
    <col min="14388" max="14388" width="3.625" style="297" customWidth="1"/>
    <col min="14389" max="14408" width="2.625" style="297" customWidth="1"/>
    <col min="14409" max="14592" width="9" style="297"/>
    <col min="14593" max="14604" width="3.25" style="297" customWidth="1"/>
    <col min="14605" max="14640" width="3.375" style="297" customWidth="1"/>
    <col min="14641" max="14643" width="3.25" style="297" customWidth="1"/>
    <col min="14644" max="14644" width="3.625" style="297" customWidth="1"/>
    <col min="14645" max="14664" width="2.625" style="297" customWidth="1"/>
    <col min="14665" max="14848" width="9" style="297"/>
    <col min="14849" max="14860" width="3.25" style="297" customWidth="1"/>
    <col min="14861" max="14896" width="3.375" style="297" customWidth="1"/>
    <col min="14897" max="14899" width="3.25" style="297" customWidth="1"/>
    <col min="14900" max="14900" width="3.625" style="297" customWidth="1"/>
    <col min="14901" max="14920" width="2.625" style="297" customWidth="1"/>
    <col min="14921" max="15104" width="9" style="297"/>
    <col min="15105" max="15116" width="3.25" style="297" customWidth="1"/>
    <col min="15117" max="15152" width="3.375" style="297" customWidth="1"/>
    <col min="15153" max="15155" width="3.25" style="297" customWidth="1"/>
    <col min="15156" max="15156" width="3.625" style="297" customWidth="1"/>
    <col min="15157" max="15176" width="2.625" style="297" customWidth="1"/>
    <col min="15177" max="15360" width="9" style="297"/>
    <col min="15361" max="15372" width="3.25" style="297" customWidth="1"/>
    <col min="15373" max="15408" width="3.375" style="297" customWidth="1"/>
    <col min="15409" max="15411" width="3.25" style="297" customWidth="1"/>
    <col min="15412" max="15412" width="3.625" style="297" customWidth="1"/>
    <col min="15413" max="15432" width="2.625" style="297" customWidth="1"/>
    <col min="15433" max="15616" width="9" style="297"/>
    <col min="15617" max="15628" width="3.25" style="297" customWidth="1"/>
    <col min="15629" max="15664" width="3.375" style="297" customWidth="1"/>
    <col min="15665" max="15667" width="3.25" style="297" customWidth="1"/>
    <col min="15668" max="15668" width="3.625" style="297" customWidth="1"/>
    <col min="15669" max="15688" width="2.625" style="297" customWidth="1"/>
    <col min="15689" max="15872" width="9" style="297"/>
    <col min="15873" max="15884" width="3.25" style="297" customWidth="1"/>
    <col min="15885" max="15920" width="3.375" style="297" customWidth="1"/>
    <col min="15921" max="15923" width="3.25" style="297" customWidth="1"/>
    <col min="15924" max="15924" width="3.625" style="297" customWidth="1"/>
    <col min="15925" max="15944" width="2.625" style="297" customWidth="1"/>
    <col min="15945" max="16128" width="9" style="297"/>
    <col min="16129" max="16140" width="3.25" style="297" customWidth="1"/>
    <col min="16141" max="16176" width="3.375" style="297" customWidth="1"/>
    <col min="16177" max="16179" width="3.25" style="297" customWidth="1"/>
    <col min="16180" max="16180" width="3.625" style="297" customWidth="1"/>
    <col min="16181" max="16200" width="2.625" style="297" customWidth="1"/>
    <col min="16201" max="16384" width="9" style="297"/>
  </cols>
  <sheetData>
    <row r="1" spans="1:64" s="218" customFormat="1" ht="21" customHeight="1">
      <c r="A1" s="243"/>
      <c r="B1" s="838" t="s">
        <v>419</v>
      </c>
      <c r="C1" s="838"/>
      <c r="D1" s="838"/>
      <c r="E1" s="838"/>
      <c r="F1" s="838"/>
      <c r="G1" s="838"/>
      <c r="H1" s="838"/>
      <c r="I1" s="838"/>
      <c r="J1" s="838"/>
      <c r="K1" s="838"/>
      <c r="L1" s="838"/>
      <c r="M1" s="838"/>
      <c r="N1" s="838"/>
      <c r="O1" s="838"/>
      <c r="P1" s="838"/>
      <c r="Q1" s="838"/>
      <c r="R1" s="838"/>
      <c r="S1" s="217"/>
      <c r="T1" s="217"/>
      <c r="U1" s="217"/>
      <c r="V1" s="217"/>
      <c r="W1" s="217"/>
      <c r="X1" s="217"/>
      <c r="Y1" s="217"/>
      <c r="Z1" s="217"/>
      <c r="AA1" s="217"/>
      <c r="AB1" s="217"/>
      <c r="AC1" s="217"/>
      <c r="AD1" s="217"/>
      <c r="AE1" s="217"/>
    </row>
    <row r="2" spans="1:64" ht="15.75" customHeight="1">
      <c r="A2" s="883" t="s">
        <v>426</v>
      </c>
      <c r="B2" s="883"/>
      <c r="C2" s="883"/>
      <c r="D2" s="883"/>
      <c r="E2" s="883"/>
      <c r="F2" s="883"/>
      <c r="G2" s="883"/>
      <c r="H2" s="883"/>
      <c r="I2" s="883"/>
      <c r="J2" s="883"/>
      <c r="K2" s="883"/>
      <c r="L2" s="883"/>
      <c r="M2" s="883"/>
      <c r="N2" s="883"/>
      <c r="O2" s="883"/>
      <c r="P2" s="883"/>
      <c r="Q2" s="883"/>
      <c r="R2" s="883"/>
      <c r="S2" s="883"/>
      <c r="T2" s="883"/>
      <c r="U2" s="883"/>
      <c r="V2" s="883"/>
      <c r="W2" s="883"/>
      <c r="X2" s="883"/>
      <c r="Y2" s="883"/>
      <c r="Z2" s="883"/>
      <c r="AA2" s="883"/>
      <c r="AB2" s="883"/>
      <c r="AC2" s="883"/>
      <c r="AD2" s="883"/>
      <c r="AE2" s="883"/>
      <c r="AF2" s="883"/>
      <c r="AG2" s="883"/>
      <c r="AH2" s="883"/>
      <c r="AI2" s="883"/>
      <c r="AJ2" s="883"/>
      <c r="AK2" s="883"/>
      <c r="AL2" s="883"/>
      <c r="AM2" s="883"/>
      <c r="AN2" s="883"/>
      <c r="AO2" s="883"/>
      <c r="AP2" s="883"/>
      <c r="AQ2" s="883"/>
      <c r="AR2" s="883"/>
      <c r="AS2" s="883"/>
      <c r="AT2" s="883"/>
      <c r="AU2" s="883"/>
      <c r="AV2" s="883"/>
      <c r="AW2" s="883"/>
      <c r="AX2" s="883"/>
      <c r="AY2" s="883"/>
      <c r="AZ2" s="883"/>
      <c r="BA2" s="883"/>
      <c r="BB2" s="296"/>
      <c r="BC2" s="296"/>
      <c r="BD2" s="296"/>
      <c r="BE2" s="296"/>
    </row>
    <row r="3" spans="1:64" s="9" customFormat="1" ht="60" customHeight="1" thickBot="1">
      <c r="A3" s="884" t="s">
        <v>337</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885"/>
      <c r="AM3" s="885"/>
      <c r="AN3" s="885"/>
      <c r="AO3" s="885"/>
      <c r="AP3" s="885"/>
      <c r="AQ3" s="885"/>
      <c r="AR3" s="885"/>
      <c r="AS3" s="885"/>
      <c r="AT3" s="885"/>
      <c r="AU3" s="885"/>
      <c r="AV3" s="885"/>
      <c r="AW3" s="885"/>
      <c r="AX3" s="885"/>
      <c r="AY3" s="885"/>
      <c r="AZ3" s="885"/>
    </row>
    <row r="4" spans="1:64" s="9" customFormat="1" ht="21" customHeight="1" thickBot="1">
      <c r="A4" s="886" t="s">
        <v>6</v>
      </c>
      <c r="B4" s="887"/>
      <c r="C4" s="887"/>
      <c r="D4" s="887"/>
      <c r="E4" s="887"/>
      <c r="F4" s="887"/>
      <c r="G4" s="887"/>
      <c r="H4" s="887"/>
      <c r="I4" s="887"/>
      <c r="J4" s="887"/>
      <c r="K4" s="887"/>
      <c r="L4" s="888"/>
      <c r="M4" s="889"/>
      <c r="N4" s="890"/>
      <c r="O4" s="890"/>
      <c r="P4" s="890"/>
      <c r="Q4" s="890"/>
      <c r="R4" s="890"/>
      <c r="S4" s="890"/>
      <c r="T4" s="890"/>
      <c r="U4" s="890"/>
      <c r="V4" s="890"/>
      <c r="W4" s="890"/>
      <c r="X4" s="890"/>
      <c r="Y4" s="890"/>
      <c r="Z4" s="890"/>
      <c r="AA4" s="890"/>
      <c r="AB4" s="891"/>
      <c r="AC4" s="892" t="s">
        <v>338</v>
      </c>
      <c r="AD4" s="893"/>
      <c r="AE4" s="893"/>
      <c r="AF4" s="893"/>
      <c r="AG4" s="893"/>
      <c r="AH4" s="893"/>
      <c r="AI4" s="893"/>
      <c r="AJ4" s="893"/>
      <c r="AK4" s="894"/>
      <c r="AL4" s="895"/>
      <c r="AM4" s="895"/>
      <c r="AN4" s="895"/>
      <c r="AO4" s="895"/>
      <c r="AP4" s="895"/>
      <c r="AQ4" s="895"/>
      <c r="AR4" s="895"/>
      <c r="AS4" s="895"/>
      <c r="AT4" s="895"/>
      <c r="AU4" s="895"/>
      <c r="AV4" s="895"/>
      <c r="AW4" s="895"/>
      <c r="AX4" s="895"/>
      <c r="AY4" s="895"/>
      <c r="AZ4" s="896"/>
    </row>
    <row r="5" spans="1:64" s="299" customFormat="1" ht="21" customHeight="1" thickBot="1">
      <c r="A5" s="900" t="s">
        <v>399</v>
      </c>
      <c r="B5" s="901"/>
      <c r="C5" s="901"/>
      <c r="D5" s="901"/>
      <c r="E5" s="901"/>
      <c r="F5" s="902">
        <v>6</v>
      </c>
      <c r="G5" s="902"/>
      <c r="H5" s="903" t="s">
        <v>339</v>
      </c>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c r="AL5" s="903"/>
      <c r="AM5" s="903"/>
      <c r="AN5" s="903"/>
      <c r="AO5" s="903"/>
      <c r="AP5" s="903"/>
      <c r="AQ5" s="903"/>
      <c r="AR5" s="903"/>
      <c r="AS5" s="903"/>
      <c r="AT5" s="903"/>
      <c r="AU5" s="903"/>
      <c r="AV5" s="903"/>
      <c r="AW5" s="903"/>
      <c r="AX5" s="903"/>
      <c r="AY5" s="903"/>
      <c r="AZ5" s="904"/>
      <c r="BA5" s="298"/>
      <c r="BB5" s="298"/>
      <c r="BC5" s="298"/>
      <c r="BD5" s="298"/>
      <c r="BE5" s="298"/>
    </row>
    <row r="6" spans="1:64" s="299" customFormat="1" ht="21" customHeight="1">
      <c r="A6" s="422"/>
      <c r="B6" s="423"/>
      <c r="C6" s="423"/>
      <c r="D6" s="423"/>
      <c r="E6" s="423"/>
      <c r="F6" s="423"/>
      <c r="G6" s="423"/>
      <c r="H6" s="423"/>
      <c r="I6" s="423"/>
      <c r="J6" s="423"/>
      <c r="K6" s="423"/>
      <c r="L6" s="300"/>
      <c r="M6" s="905" t="s">
        <v>340</v>
      </c>
      <c r="N6" s="905"/>
      <c r="O6" s="905"/>
      <c r="P6" s="905" t="s">
        <v>341</v>
      </c>
      <c r="Q6" s="905"/>
      <c r="R6" s="905"/>
      <c r="S6" s="905" t="s">
        <v>342</v>
      </c>
      <c r="T6" s="905"/>
      <c r="U6" s="905"/>
      <c r="V6" s="905" t="s">
        <v>343</v>
      </c>
      <c r="W6" s="905"/>
      <c r="X6" s="905"/>
      <c r="Y6" s="905" t="s">
        <v>344</v>
      </c>
      <c r="Z6" s="905"/>
      <c r="AA6" s="905"/>
      <c r="AB6" s="905" t="s">
        <v>345</v>
      </c>
      <c r="AC6" s="905"/>
      <c r="AD6" s="905"/>
      <c r="AE6" s="905" t="s">
        <v>346</v>
      </c>
      <c r="AF6" s="905"/>
      <c r="AG6" s="905"/>
      <c r="AH6" s="905" t="s">
        <v>347</v>
      </c>
      <c r="AI6" s="905"/>
      <c r="AJ6" s="905"/>
      <c r="AK6" s="905" t="s">
        <v>348</v>
      </c>
      <c r="AL6" s="905"/>
      <c r="AM6" s="905"/>
      <c r="AN6" s="905" t="s">
        <v>349</v>
      </c>
      <c r="AO6" s="905"/>
      <c r="AP6" s="905"/>
      <c r="AQ6" s="905" t="s">
        <v>350</v>
      </c>
      <c r="AR6" s="905"/>
      <c r="AS6" s="905"/>
      <c r="AT6" s="905" t="s">
        <v>351</v>
      </c>
      <c r="AU6" s="905"/>
      <c r="AV6" s="908"/>
      <c r="AW6" s="897" t="s">
        <v>352</v>
      </c>
      <c r="AX6" s="898"/>
      <c r="AY6" s="898"/>
      <c r="AZ6" s="899"/>
      <c r="BA6" s="298"/>
      <c r="BB6" s="298"/>
      <c r="BC6" s="298"/>
      <c r="BD6" s="298"/>
      <c r="BE6" s="298"/>
    </row>
    <row r="7" spans="1:64" s="299" customFormat="1" ht="21" customHeight="1">
      <c r="A7" s="914" t="s">
        <v>353</v>
      </c>
      <c r="B7" s="915"/>
      <c r="C7" s="915"/>
      <c r="D7" s="915"/>
      <c r="E7" s="915"/>
      <c r="F7" s="915"/>
      <c r="G7" s="915"/>
      <c r="H7" s="915"/>
      <c r="I7" s="915"/>
      <c r="J7" s="915"/>
      <c r="K7" s="915"/>
      <c r="L7" s="916"/>
      <c r="M7" s="906"/>
      <c r="N7" s="907"/>
      <c r="O7" s="300" t="s">
        <v>105</v>
      </c>
      <c r="P7" s="906"/>
      <c r="Q7" s="907"/>
      <c r="R7" s="300" t="s">
        <v>105</v>
      </c>
      <c r="S7" s="906"/>
      <c r="T7" s="907"/>
      <c r="U7" s="300" t="s">
        <v>105</v>
      </c>
      <c r="V7" s="906"/>
      <c r="W7" s="907"/>
      <c r="X7" s="300" t="s">
        <v>105</v>
      </c>
      <c r="Y7" s="906"/>
      <c r="Z7" s="907"/>
      <c r="AA7" s="300" t="s">
        <v>105</v>
      </c>
      <c r="AB7" s="906"/>
      <c r="AC7" s="907"/>
      <c r="AD7" s="300" t="s">
        <v>105</v>
      </c>
      <c r="AE7" s="906"/>
      <c r="AF7" s="907"/>
      <c r="AG7" s="300" t="s">
        <v>105</v>
      </c>
      <c r="AH7" s="906"/>
      <c r="AI7" s="907"/>
      <c r="AJ7" s="300" t="s">
        <v>105</v>
      </c>
      <c r="AK7" s="906"/>
      <c r="AL7" s="907"/>
      <c r="AM7" s="300" t="s">
        <v>105</v>
      </c>
      <c r="AN7" s="906"/>
      <c r="AO7" s="907"/>
      <c r="AP7" s="300" t="s">
        <v>105</v>
      </c>
      <c r="AQ7" s="906"/>
      <c r="AR7" s="907"/>
      <c r="AS7" s="300" t="s">
        <v>105</v>
      </c>
      <c r="AT7" s="906"/>
      <c r="AU7" s="907"/>
      <c r="AV7" s="423" t="s">
        <v>105</v>
      </c>
      <c r="AW7" s="909">
        <f t="shared" ref="AW7:AW13" si="0">M7+P7+S7+V7+Y7+AB7+AE7+AH7+AK7+AN7+AQ7+AT7</f>
        <v>0</v>
      </c>
      <c r="AX7" s="910"/>
      <c r="AY7" s="910"/>
      <c r="AZ7" s="301" t="s">
        <v>105</v>
      </c>
      <c r="BA7" s="298"/>
      <c r="BB7" s="298"/>
      <c r="BC7" s="298"/>
      <c r="BD7" s="298"/>
      <c r="BE7" s="298"/>
    </row>
    <row r="8" spans="1:64" s="299" customFormat="1" ht="21" customHeight="1">
      <c r="A8" s="911" t="s">
        <v>354</v>
      </c>
      <c r="B8" s="912"/>
      <c r="C8" s="912"/>
      <c r="D8" s="912"/>
      <c r="E8" s="912"/>
      <c r="F8" s="912"/>
      <c r="G8" s="912"/>
      <c r="H8" s="912"/>
      <c r="I8" s="912"/>
      <c r="J8" s="912"/>
      <c r="K8" s="912"/>
      <c r="L8" s="913"/>
      <c r="M8" s="906"/>
      <c r="N8" s="907"/>
      <c r="O8" s="300" t="s">
        <v>105</v>
      </c>
      <c r="P8" s="906"/>
      <c r="Q8" s="907"/>
      <c r="R8" s="300" t="s">
        <v>105</v>
      </c>
      <c r="S8" s="906"/>
      <c r="T8" s="907"/>
      <c r="U8" s="300" t="s">
        <v>105</v>
      </c>
      <c r="V8" s="906"/>
      <c r="W8" s="907"/>
      <c r="X8" s="300" t="s">
        <v>105</v>
      </c>
      <c r="Y8" s="906"/>
      <c r="Z8" s="907"/>
      <c r="AA8" s="300" t="s">
        <v>105</v>
      </c>
      <c r="AB8" s="906"/>
      <c r="AC8" s="907"/>
      <c r="AD8" s="300" t="s">
        <v>105</v>
      </c>
      <c r="AE8" s="906"/>
      <c r="AF8" s="907"/>
      <c r="AG8" s="300" t="s">
        <v>105</v>
      </c>
      <c r="AH8" s="906"/>
      <c r="AI8" s="907"/>
      <c r="AJ8" s="300" t="s">
        <v>105</v>
      </c>
      <c r="AK8" s="906"/>
      <c r="AL8" s="907"/>
      <c r="AM8" s="300" t="s">
        <v>105</v>
      </c>
      <c r="AN8" s="906"/>
      <c r="AO8" s="907"/>
      <c r="AP8" s="300" t="s">
        <v>105</v>
      </c>
      <c r="AQ8" s="906"/>
      <c r="AR8" s="907"/>
      <c r="AS8" s="300" t="s">
        <v>105</v>
      </c>
      <c r="AT8" s="906"/>
      <c r="AU8" s="907"/>
      <c r="AV8" s="423" t="s">
        <v>105</v>
      </c>
      <c r="AW8" s="909">
        <f t="shared" si="0"/>
        <v>0</v>
      </c>
      <c r="AX8" s="910"/>
      <c r="AY8" s="910"/>
      <c r="AZ8" s="301" t="s">
        <v>105</v>
      </c>
      <c r="BA8" s="298"/>
      <c r="BB8" s="298"/>
      <c r="BC8" s="298"/>
      <c r="BD8" s="298"/>
      <c r="BE8" s="298"/>
    </row>
    <row r="9" spans="1:64" s="299" customFormat="1" ht="21" customHeight="1" thickBot="1">
      <c r="A9" s="928" t="s">
        <v>355</v>
      </c>
      <c r="B9" s="929"/>
      <c r="C9" s="929"/>
      <c r="D9" s="929"/>
      <c r="E9" s="929"/>
      <c r="F9" s="929"/>
      <c r="G9" s="929"/>
      <c r="H9" s="929"/>
      <c r="I9" s="929"/>
      <c r="J9" s="929"/>
      <c r="K9" s="929"/>
      <c r="L9" s="930"/>
      <c r="M9" s="919"/>
      <c r="N9" s="920"/>
      <c r="O9" s="302" t="s">
        <v>356</v>
      </c>
      <c r="P9" s="919"/>
      <c r="Q9" s="920"/>
      <c r="R9" s="302" t="s">
        <v>356</v>
      </c>
      <c r="S9" s="919"/>
      <c r="T9" s="920"/>
      <c r="U9" s="302" t="s">
        <v>356</v>
      </c>
      <c r="V9" s="919"/>
      <c r="W9" s="920"/>
      <c r="X9" s="302" t="s">
        <v>356</v>
      </c>
      <c r="Y9" s="919"/>
      <c r="Z9" s="920"/>
      <c r="AA9" s="302" t="s">
        <v>356</v>
      </c>
      <c r="AB9" s="919"/>
      <c r="AC9" s="920"/>
      <c r="AD9" s="302" t="s">
        <v>356</v>
      </c>
      <c r="AE9" s="919"/>
      <c r="AF9" s="920"/>
      <c r="AG9" s="302" t="s">
        <v>356</v>
      </c>
      <c r="AH9" s="919"/>
      <c r="AI9" s="920"/>
      <c r="AJ9" s="302" t="s">
        <v>356</v>
      </c>
      <c r="AK9" s="919"/>
      <c r="AL9" s="920"/>
      <c r="AM9" s="302" t="s">
        <v>356</v>
      </c>
      <c r="AN9" s="919"/>
      <c r="AO9" s="920"/>
      <c r="AP9" s="302" t="s">
        <v>356</v>
      </c>
      <c r="AQ9" s="919"/>
      <c r="AR9" s="920"/>
      <c r="AS9" s="302" t="s">
        <v>356</v>
      </c>
      <c r="AT9" s="919"/>
      <c r="AU9" s="920"/>
      <c r="AV9" s="303" t="s">
        <v>356</v>
      </c>
      <c r="AW9" s="921">
        <f t="shared" si="0"/>
        <v>0</v>
      </c>
      <c r="AX9" s="922"/>
      <c r="AY9" s="922"/>
      <c r="AZ9" s="304" t="s">
        <v>356</v>
      </c>
      <c r="BA9" s="298"/>
      <c r="BB9" s="298"/>
      <c r="BC9" s="298"/>
      <c r="BD9" s="298"/>
      <c r="BE9" s="298"/>
    </row>
    <row r="10" spans="1:64" s="299" customFormat="1" ht="21" customHeight="1">
      <c r="A10" s="923" t="s">
        <v>357</v>
      </c>
      <c r="B10" s="924"/>
      <c r="C10" s="924"/>
      <c r="D10" s="924"/>
      <c r="E10" s="924"/>
      <c r="F10" s="924"/>
      <c r="G10" s="924"/>
      <c r="H10" s="924"/>
      <c r="I10" s="924"/>
      <c r="J10" s="924"/>
      <c r="K10" s="924"/>
      <c r="L10" s="925"/>
      <c r="M10" s="926"/>
      <c r="N10" s="927"/>
      <c r="O10" s="305" t="s">
        <v>356</v>
      </c>
      <c r="P10" s="926"/>
      <c r="Q10" s="927"/>
      <c r="R10" s="305" t="s">
        <v>356</v>
      </c>
      <c r="S10" s="926"/>
      <c r="T10" s="927"/>
      <c r="U10" s="305" t="s">
        <v>356</v>
      </c>
      <c r="V10" s="926"/>
      <c r="W10" s="927"/>
      <c r="X10" s="305" t="s">
        <v>356</v>
      </c>
      <c r="Y10" s="926"/>
      <c r="Z10" s="927"/>
      <c r="AA10" s="305" t="s">
        <v>356</v>
      </c>
      <c r="AB10" s="926"/>
      <c r="AC10" s="927"/>
      <c r="AD10" s="305" t="s">
        <v>356</v>
      </c>
      <c r="AE10" s="926"/>
      <c r="AF10" s="927"/>
      <c r="AG10" s="305" t="s">
        <v>356</v>
      </c>
      <c r="AH10" s="926"/>
      <c r="AI10" s="927"/>
      <c r="AJ10" s="305" t="s">
        <v>356</v>
      </c>
      <c r="AK10" s="926"/>
      <c r="AL10" s="927"/>
      <c r="AM10" s="305" t="s">
        <v>356</v>
      </c>
      <c r="AN10" s="926"/>
      <c r="AO10" s="927"/>
      <c r="AP10" s="305" t="s">
        <v>356</v>
      </c>
      <c r="AQ10" s="926"/>
      <c r="AR10" s="927"/>
      <c r="AS10" s="305" t="s">
        <v>356</v>
      </c>
      <c r="AT10" s="926"/>
      <c r="AU10" s="927"/>
      <c r="AV10" s="306" t="s">
        <v>356</v>
      </c>
      <c r="AW10" s="917">
        <f t="shared" si="0"/>
        <v>0</v>
      </c>
      <c r="AX10" s="918"/>
      <c r="AY10" s="918"/>
      <c r="AZ10" s="307" t="s">
        <v>356</v>
      </c>
      <c r="BA10" s="298"/>
      <c r="BB10" s="298"/>
      <c r="BC10" s="298"/>
      <c r="BD10" s="298"/>
      <c r="BE10" s="298"/>
    </row>
    <row r="11" spans="1:64" s="299" customFormat="1" ht="21" customHeight="1" thickBot="1">
      <c r="A11" s="928" t="s">
        <v>358</v>
      </c>
      <c r="B11" s="929"/>
      <c r="C11" s="929"/>
      <c r="D11" s="929"/>
      <c r="E11" s="929"/>
      <c r="F11" s="929"/>
      <c r="G11" s="929"/>
      <c r="H11" s="929"/>
      <c r="I11" s="929"/>
      <c r="J11" s="929"/>
      <c r="K11" s="929"/>
      <c r="L11" s="930"/>
      <c r="M11" s="931">
        <f>M9-M10</f>
        <v>0</v>
      </c>
      <c r="N11" s="922"/>
      <c r="O11" s="302" t="s">
        <v>356</v>
      </c>
      <c r="P11" s="931">
        <f>P9-P10</f>
        <v>0</v>
      </c>
      <c r="Q11" s="922"/>
      <c r="R11" s="302" t="s">
        <v>356</v>
      </c>
      <c r="S11" s="931">
        <f>S9-S10</f>
        <v>0</v>
      </c>
      <c r="T11" s="922"/>
      <c r="U11" s="302" t="s">
        <v>356</v>
      </c>
      <c r="V11" s="931">
        <f>V9-V10</f>
        <v>0</v>
      </c>
      <c r="W11" s="922"/>
      <c r="X11" s="302" t="s">
        <v>356</v>
      </c>
      <c r="Y11" s="931">
        <f>Y9-Y10</f>
        <v>0</v>
      </c>
      <c r="Z11" s="922"/>
      <c r="AA11" s="302" t="s">
        <v>356</v>
      </c>
      <c r="AB11" s="931">
        <f>AB9-AB10</f>
        <v>0</v>
      </c>
      <c r="AC11" s="922"/>
      <c r="AD11" s="302" t="s">
        <v>356</v>
      </c>
      <c r="AE11" s="931">
        <f>AE9-AE10</f>
        <v>0</v>
      </c>
      <c r="AF11" s="922"/>
      <c r="AG11" s="302" t="s">
        <v>356</v>
      </c>
      <c r="AH11" s="931">
        <f>AH9-AH10</f>
        <v>0</v>
      </c>
      <c r="AI11" s="922"/>
      <c r="AJ11" s="302" t="s">
        <v>356</v>
      </c>
      <c r="AK11" s="931">
        <f>AK9-AK10</f>
        <v>0</v>
      </c>
      <c r="AL11" s="922"/>
      <c r="AM11" s="302" t="s">
        <v>356</v>
      </c>
      <c r="AN11" s="931">
        <f>AN9-AN10</f>
        <v>0</v>
      </c>
      <c r="AO11" s="922"/>
      <c r="AP11" s="302" t="s">
        <v>356</v>
      </c>
      <c r="AQ11" s="931">
        <f>AQ9-AQ10</f>
        <v>0</v>
      </c>
      <c r="AR11" s="922"/>
      <c r="AS11" s="302" t="s">
        <v>356</v>
      </c>
      <c r="AT11" s="931">
        <f>AT9-AT10</f>
        <v>0</v>
      </c>
      <c r="AU11" s="922"/>
      <c r="AV11" s="303" t="s">
        <v>356</v>
      </c>
      <c r="AW11" s="921">
        <f t="shared" si="0"/>
        <v>0</v>
      </c>
      <c r="AX11" s="922"/>
      <c r="AY11" s="922"/>
      <c r="AZ11" s="304" t="s">
        <v>356</v>
      </c>
      <c r="BA11" s="298"/>
      <c r="BB11" s="298"/>
      <c r="BC11" s="298"/>
      <c r="BD11" s="298"/>
      <c r="BE11" s="298"/>
    </row>
    <row r="12" spans="1:64" s="299" customFormat="1" ht="32.25" customHeight="1" thickBot="1">
      <c r="A12" s="934" t="s">
        <v>359</v>
      </c>
      <c r="B12" s="935"/>
      <c r="C12" s="935"/>
      <c r="D12" s="935"/>
      <c r="E12" s="935"/>
      <c r="F12" s="935"/>
      <c r="G12" s="935"/>
      <c r="H12" s="935"/>
      <c r="I12" s="935"/>
      <c r="J12" s="935"/>
      <c r="K12" s="935"/>
      <c r="L12" s="936"/>
      <c r="M12" s="932"/>
      <c r="N12" s="933"/>
      <c r="O12" s="308" t="s">
        <v>356</v>
      </c>
      <c r="P12" s="932"/>
      <c r="Q12" s="933"/>
      <c r="R12" s="308" t="s">
        <v>356</v>
      </c>
      <c r="S12" s="932"/>
      <c r="T12" s="933"/>
      <c r="U12" s="308" t="s">
        <v>356</v>
      </c>
      <c r="V12" s="932"/>
      <c r="W12" s="933"/>
      <c r="X12" s="308" t="s">
        <v>356</v>
      </c>
      <c r="Y12" s="932"/>
      <c r="Z12" s="933"/>
      <c r="AA12" s="308" t="s">
        <v>356</v>
      </c>
      <c r="AB12" s="932"/>
      <c r="AC12" s="933"/>
      <c r="AD12" s="308" t="s">
        <v>356</v>
      </c>
      <c r="AE12" s="932"/>
      <c r="AF12" s="933"/>
      <c r="AG12" s="308" t="s">
        <v>356</v>
      </c>
      <c r="AH12" s="932"/>
      <c r="AI12" s="933"/>
      <c r="AJ12" s="308" t="s">
        <v>356</v>
      </c>
      <c r="AK12" s="932"/>
      <c r="AL12" s="933"/>
      <c r="AM12" s="308" t="s">
        <v>356</v>
      </c>
      <c r="AN12" s="932"/>
      <c r="AO12" s="933"/>
      <c r="AP12" s="308" t="s">
        <v>356</v>
      </c>
      <c r="AQ12" s="932"/>
      <c r="AR12" s="933"/>
      <c r="AS12" s="308" t="s">
        <v>356</v>
      </c>
      <c r="AT12" s="932"/>
      <c r="AU12" s="933"/>
      <c r="AV12" s="309" t="s">
        <v>356</v>
      </c>
      <c r="AW12" s="886">
        <f t="shared" si="0"/>
        <v>0</v>
      </c>
      <c r="AX12" s="887"/>
      <c r="AY12" s="887"/>
      <c r="AZ12" s="310" t="s">
        <v>356</v>
      </c>
      <c r="BA12" s="298"/>
      <c r="BB12" s="298"/>
      <c r="BC12" s="298"/>
      <c r="BD12" s="298"/>
      <c r="BE12" s="298"/>
    </row>
    <row r="13" spans="1:64" s="299" customFormat="1" ht="32.25" customHeight="1" thickBot="1">
      <c r="A13" s="939" t="s">
        <v>360</v>
      </c>
      <c r="B13" s="940"/>
      <c r="C13" s="940"/>
      <c r="D13" s="940"/>
      <c r="E13" s="940"/>
      <c r="F13" s="940"/>
      <c r="G13" s="940"/>
      <c r="H13" s="940"/>
      <c r="I13" s="940"/>
      <c r="J13" s="940"/>
      <c r="K13" s="940"/>
      <c r="L13" s="940"/>
      <c r="M13" s="932"/>
      <c r="N13" s="933"/>
      <c r="O13" s="308" t="s">
        <v>356</v>
      </c>
      <c r="P13" s="932"/>
      <c r="Q13" s="933"/>
      <c r="R13" s="308" t="s">
        <v>356</v>
      </c>
      <c r="S13" s="932"/>
      <c r="T13" s="933"/>
      <c r="U13" s="308" t="s">
        <v>356</v>
      </c>
      <c r="V13" s="932"/>
      <c r="W13" s="933"/>
      <c r="X13" s="308" t="s">
        <v>356</v>
      </c>
      <c r="Y13" s="932"/>
      <c r="Z13" s="933"/>
      <c r="AA13" s="308" t="s">
        <v>356</v>
      </c>
      <c r="AB13" s="932"/>
      <c r="AC13" s="933"/>
      <c r="AD13" s="308" t="s">
        <v>356</v>
      </c>
      <c r="AE13" s="932"/>
      <c r="AF13" s="933"/>
      <c r="AG13" s="308" t="s">
        <v>356</v>
      </c>
      <c r="AH13" s="932"/>
      <c r="AI13" s="933"/>
      <c r="AJ13" s="308" t="s">
        <v>356</v>
      </c>
      <c r="AK13" s="932"/>
      <c r="AL13" s="933"/>
      <c r="AM13" s="308" t="s">
        <v>356</v>
      </c>
      <c r="AN13" s="932"/>
      <c r="AO13" s="933"/>
      <c r="AP13" s="308" t="s">
        <v>356</v>
      </c>
      <c r="AQ13" s="932"/>
      <c r="AR13" s="933"/>
      <c r="AS13" s="308" t="s">
        <v>356</v>
      </c>
      <c r="AT13" s="932"/>
      <c r="AU13" s="933"/>
      <c r="AV13" s="309" t="s">
        <v>356</v>
      </c>
      <c r="AW13" s="886">
        <f t="shared" si="0"/>
        <v>0</v>
      </c>
      <c r="AX13" s="887"/>
      <c r="AY13" s="887"/>
      <c r="AZ13" s="310" t="s">
        <v>356</v>
      </c>
      <c r="BA13" s="298"/>
      <c r="BB13" s="298"/>
      <c r="BC13" s="298"/>
      <c r="BD13" s="298"/>
      <c r="BE13" s="298"/>
    </row>
    <row r="14" spans="1:64" s="299" customFormat="1" ht="21" customHeight="1">
      <c r="A14" s="420" t="s">
        <v>361</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row>
    <row r="15" spans="1:64" s="299" customFormat="1" ht="27" customHeight="1">
      <c r="A15" s="311" t="s">
        <v>362</v>
      </c>
      <c r="B15" s="423"/>
      <c r="C15" s="423"/>
      <c r="D15" s="423"/>
      <c r="E15" s="423"/>
      <c r="F15" s="423"/>
      <c r="G15" s="423"/>
      <c r="H15" s="423"/>
      <c r="I15" s="300"/>
      <c r="J15" s="312" t="s">
        <v>363</v>
      </c>
      <c r="K15" s="937">
        <f>AW7</f>
        <v>0</v>
      </c>
      <c r="L15" s="937"/>
      <c r="M15" s="937"/>
      <c r="N15" s="937"/>
      <c r="O15" s="421" t="s">
        <v>364</v>
      </c>
      <c r="P15" s="300" t="s">
        <v>105</v>
      </c>
      <c r="Q15" s="420" t="s">
        <v>365</v>
      </c>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row>
    <row r="16" spans="1:64" s="299" customFormat="1" ht="27" customHeight="1">
      <c r="A16" s="938" t="s">
        <v>366</v>
      </c>
      <c r="B16" s="912"/>
      <c r="C16" s="912"/>
      <c r="D16" s="912"/>
      <c r="E16" s="912"/>
      <c r="F16" s="912"/>
      <c r="G16" s="912"/>
      <c r="H16" s="912"/>
      <c r="I16" s="913"/>
      <c r="J16" s="312" t="s">
        <v>363</v>
      </c>
      <c r="K16" s="937">
        <f>AW8</f>
        <v>0</v>
      </c>
      <c r="L16" s="937"/>
      <c r="M16" s="937"/>
      <c r="N16" s="937"/>
      <c r="O16" s="421" t="s">
        <v>364</v>
      </c>
      <c r="P16" s="300" t="s">
        <v>105</v>
      </c>
      <c r="Q16" s="420" t="s">
        <v>367</v>
      </c>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row>
    <row r="17" spans="1:61" s="299" customFormat="1" ht="27" customHeight="1">
      <c r="A17" s="311" t="s">
        <v>368</v>
      </c>
      <c r="B17" s="423"/>
      <c r="C17" s="423"/>
      <c r="D17" s="423"/>
      <c r="E17" s="423"/>
      <c r="F17" s="423"/>
      <c r="G17" s="423"/>
      <c r="H17" s="423"/>
      <c r="I17" s="300"/>
      <c r="J17" s="312" t="s">
        <v>363</v>
      </c>
      <c r="K17" s="937">
        <f>AW9</f>
        <v>0</v>
      </c>
      <c r="L17" s="937"/>
      <c r="M17" s="937"/>
      <c r="N17" s="937"/>
      <c r="O17" s="421" t="s">
        <v>364</v>
      </c>
      <c r="P17" s="300" t="s">
        <v>5</v>
      </c>
      <c r="Q17" s="425" t="s">
        <v>369</v>
      </c>
      <c r="R17" s="298"/>
      <c r="S17" s="298"/>
      <c r="T17" s="298"/>
      <c r="U17" s="298"/>
      <c r="V17" s="298"/>
      <c r="W17" s="298"/>
      <c r="X17" s="298"/>
      <c r="Y17" s="298"/>
      <c r="Z17" s="298"/>
      <c r="AA17" s="298"/>
      <c r="AB17" s="298"/>
      <c r="AC17" s="298"/>
      <c r="AD17" s="298"/>
      <c r="AE17" s="298"/>
      <c r="AF17" s="298"/>
      <c r="AG17" s="298"/>
      <c r="AH17" s="298"/>
      <c r="AI17" s="298"/>
      <c r="AJ17" s="425"/>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row>
    <row r="18" spans="1:61" s="299" customFormat="1" ht="27" customHeight="1">
      <c r="A18" s="941" t="s">
        <v>370</v>
      </c>
      <c r="B18" s="942"/>
      <c r="C18" s="942"/>
      <c r="D18" s="942"/>
      <c r="E18" s="942"/>
      <c r="F18" s="942"/>
      <c r="G18" s="942"/>
      <c r="H18" s="942"/>
      <c r="I18" s="943"/>
      <c r="J18" s="312" t="s">
        <v>363</v>
      </c>
      <c r="K18" s="944" t="e">
        <f>ROUNDUP(K17/K15,1)</f>
        <v>#DIV/0!</v>
      </c>
      <c r="L18" s="944"/>
      <c r="M18" s="944"/>
      <c r="N18" s="944"/>
      <c r="O18" s="421" t="s">
        <v>364</v>
      </c>
      <c r="P18" s="300" t="s">
        <v>5</v>
      </c>
      <c r="Q18" s="425" t="s">
        <v>371</v>
      </c>
      <c r="R18" s="298"/>
      <c r="S18" s="298"/>
      <c r="T18" s="298"/>
      <c r="U18" s="298"/>
      <c r="V18" s="298"/>
      <c r="W18" s="298"/>
      <c r="X18" s="298"/>
      <c r="Y18" s="298"/>
      <c r="Z18" s="313"/>
      <c r="AA18" s="313"/>
      <c r="AB18" s="420"/>
      <c r="AC18" s="420"/>
      <c r="AD18" s="298"/>
      <c r="AE18" s="298"/>
      <c r="AF18" s="298"/>
      <c r="AG18" s="298"/>
      <c r="AH18" s="298"/>
      <c r="AI18" s="298"/>
      <c r="AJ18" s="425"/>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row>
    <row r="19" spans="1:61" s="299" customFormat="1" ht="27" customHeight="1">
      <c r="A19" s="311" t="s">
        <v>372</v>
      </c>
      <c r="B19" s="423"/>
      <c r="C19" s="423"/>
      <c r="D19" s="423"/>
      <c r="E19" s="423"/>
      <c r="F19" s="423"/>
      <c r="G19" s="423"/>
      <c r="H19" s="423"/>
      <c r="I19" s="300"/>
      <c r="J19" s="312" t="s">
        <v>363</v>
      </c>
      <c r="K19" s="944" t="e">
        <f>ROUNDUP(AW10/K16,1)</f>
        <v>#DIV/0!</v>
      </c>
      <c r="L19" s="944"/>
      <c r="M19" s="944"/>
      <c r="N19" s="944"/>
      <c r="O19" s="421" t="s">
        <v>364</v>
      </c>
      <c r="P19" s="300" t="s">
        <v>5</v>
      </c>
      <c r="Q19" s="425" t="s">
        <v>373</v>
      </c>
      <c r="R19" s="298"/>
      <c r="S19" s="298"/>
      <c r="T19" s="298"/>
      <c r="U19" s="298"/>
      <c r="V19" s="298"/>
      <c r="W19" s="298"/>
      <c r="X19" s="298"/>
      <c r="Y19" s="298"/>
      <c r="Z19" s="313"/>
      <c r="AA19" s="313"/>
      <c r="AB19" s="420"/>
      <c r="AC19" s="420"/>
      <c r="AD19" s="298"/>
      <c r="AE19" s="298"/>
      <c r="AF19" s="298"/>
      <c r="AG19" s="298"/>
      <c r="AH19" s="298"/>
      <c r="AI19" s="298"/>
      <c r="AJ19" s="425"/>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row>
    <row r="20" spans="1:61" s="299" customFormat="1" ht="27" customHeight="1">
      <c r="A20" s="941" t="s">
        <v>374</v>
      </c>
      <c r="B20" s="912"/>
      <c r="C20" s="912"/>
      <c r="D20" s="912"/>
      <c r="E20" s="912"/>
      <c r="F20" s="912"/>
      <c r="G20" s="912"/>
      <c r="H20" s="912"/>
      <c r="I20" s="913"/>
      <c r="J20" s="312" t="s">
        <v>363</v>
      </c>
      <c r="K20" s="944" t="e">
        <f>ROUNDUP(AW11/K15,1)</f>
        <v>#DIV/0!</v>
      </c>
      <c r="L20" s="944"/>
      <c r="M20" s="944"/>
      <c r="N20" s="944"/>
      <c r="O20" s="421" t="s">
        <v>364</v>
      </c>
      <c r="P20" s="300" t="s">
        <v>5</v>
      </c>
      <c r="Q20" s="425" t="s">
        <v>375</v>
      </c>
      <c r="R20" s="420"/>
      <c r="S20" s="420"/>
      <c r="T20" s="420"/>
      <c r="U20" s="420"/>
      <c r="V20" s="420"/>
      <c r="W20" s="420"/>
      <c r="X20" s="420"/>
      <c r="Y20" s="420"/>
      <c r="Z20" s="314"/>
      <c r="AA20" s="315"/>
      <c r="AB20" s="315"/>
      <c r="AC20" s="315"/>
      <c r="AD20" s="315"/>
      <c r="AE20" s="314"/>
      <c r="AF20" s="298"/>
      <c r="AG20" s="425"/>
      <c r="AH20" s="298"/>
      <c r="AI20" s="298"/>
      <c r="AJ20" s="425"/>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row>
    <row r="21" spans="1:61" s="299" customFormat="1" ht="15.75" customHeight="1">
      <c r="A21" s="945" t="s">
        <v>376</v>
      </c>
      <c r="B21" s="946"/>
      <c r="C21" s="946"/>
      <c r="D21" s="946"/>
      <c r="E21" s="946"/>
      <c r="F21" s="946"/>
      <c r="G21" s="946"/>
      <c r="H21" s="946"/>
      <c r="I21" s="947"/>
      <c r="J21" s="951" t="s">
        <v>363</v>
      </c>
      <c r="K21" s="953" t="e">
        <f>K18/6</f>
        <v>#DIV/0!</v>
      </c>
      <c r="L21" s="953"/>
      <c r="M21" s="953"/>
      <c r="N21" s="953"/>
      <c r="O21" s="955" t="s">
        <v>364</v>
      </c>
      <c r="P21" s="957" t="s">
        <v>5</v>
      </c>
      <c r="Q21" s="959" t="s">
        <v>377</v>
      </c>
      <c r="R21" s="960"/>
      <c r="S21" s="960"/>
      <c r="T21" s="960"/>
      <c r="U21" s="960"/>
      <c r="V21" s="960"/>
      <c r="W21" s="960"/>
      <c r="X21" s="960"/>
      <c r="Y21" s="960"/>
      <c r="Z21" s="960"/>
      <c r="AA21" s="960"/>
      <c r="AB21" s="960"/>
      <c r="AC21" s="960"/>
      <c r="AD21" s="960"/>
      <c r="AE21" s="960"/>
      <c r="AF21" s="960"/>
      <c r="AG21" s="960"/>
      <c r="AH21" s="960"/>
      <c r="AI21" s="960"/>
      <c r="AJ21" s="960"/>
      <c r="AK21" s="420"/>
      <c r="AL21" s="420"/>
      <c r="AM21" s="420"/>
      <c r="AN21" s="420"/>
      <c r="AO21" s="420"/>
      <c r="AP21" s="420"/>
      <c r="AQ21" s="420"/>
      <c r="AR21" s="420"/>
      <c r="AS21" s="420"/>
      <c r="AT21" s="420"/>
      <c r="AU21" s="420"/>
      <c r="AV21" s="420"/>
      <c r="AW21" s="420"/>
      <c r="AX21" s="420"/>
      <c r="AY21" s="420"/>
      <c r="AZ21" s="420"/>
      <c r="BA21" s="420"/>
      <c r="BB21" s="298"/>
      <c r="BC21" s="298"/>
      <c r="BD21" s="298"/>
      <c r="BE21" s="298"/>
    </row>
    <row r="22" spans="1:61" s="299" customFormat="1" ht="15.75" customHeight="1">
      <c r="A22" s="948"/>
      <c r="B22" s="949"/>
      <c r="C22" s="949"/>
      <c r="D22" s="949"/>
      <c r="E22" s="949"/>
      <c r="F22" s="949"/>
      <c r="G22" s="949"/>
      <c r="H22" s="949"/>
      <c r="I22" s="950"/>
      <c r="J22" s="952"/>
      <c r="K22" s="954"/>
      <c r="L22" s="954"/>
      <c r="M22" s="954"/>
      <c r="N22" s="954"/>
      <c r="O22" s="956"/>
      <c r="P22" s="958"/>
      <c r="Q22" s="959"/>
      <c r="R22" s="960"/>
      <c r="S22" s="960"/>
      <c r="T22" s="960"/>
      <c r="U22" s="960"/>
      <c r="V22" s="960"/>
      <c r="W22" s="960"/>
      <c r="X22" s="960"/>
      <c r="Y22" s="960"/>
      <c r="Z22" s="960"/>
      <c r="AA22" s="960"/>
      <c r="AB22" s="960"/>
      <c r="AC22" s="960"/>
      <c r="AD22" s="960"/>
      <c r="AE22" s="960"/>
      <c r="AF22" s="960"/>
      <c r="AG22" s="960"/>
      <c r="AH22" s="960"/>
      <c r="AI22" s="960"/>
      <c r="AJ22" s="960"/>
      <c r="AK22" s="420"/>
      <c r="AL22" s="420"/>
      <c r="AM22" s="420"/>
      <c r="AN22" s="420"/>
      <c r="AO22" s="420"/>
      <c r="AP22" s="420"/>
      <c r="AQ22" s="420"/>
      <c r="AR22" s="420"/>
      <c r="AS22" s="420"/>
      <c r="AT22" s="420"/>
      <c r="AU22" s="420"/>
      <c r="AV22" s="420"/>
      <c r="AW22" s="420"/>
      <c r="AX22" s="420"/>
      <c r="AY22" s="420"/>
      <c r="AZ22" s="420"/>
      <c r="BA22" s="420"/>
      <c r="BB22" s="298"/>
      <c r="BC22" s="298"/>
      <c r="BD22" s="298"/>
      <c r="BE22" s="298"/>
    </row>
    <row r="23" spans="1:61" s="299" customFormat="1" ht="21.75" customHeight="1">
      <c r="A23" s="945" t="s">
        <v>378</v>
      </c>
      <c r="B23" s="946"/>
      <c r="C23" s="946"/>
      <c r="D23" s="946"/>
      <c r="E23" s="946"/>
      <c r="F23" s="946"/>
      <c r="G23" s="946"/>
      <c r="H23" s="946"/>
      <c r="I23" s="947"/>
      <c r="J23" s="951" t="s">
        <v>363</v>
      </c>
      <c r="K23" s="953" t="e">
        <f>(K19/10)+(K20/6)</f>
        <v>#DIV/0!</v>
      </c>
      <c r="L23" s="953"/>
      <c r="M23" s="953"/>
      <c r="N23" s="953"/>
      <c r="O23" s="955" t="s">
        <v>364</v>
      </c>
      <c r="P23" s="957" t="s">
        <v>5</v>
      </c>
      <c r="Q23" s="959" t="s">
        <v>379</v>
      </c>
      <c r="R23" s="960"/>
      <c r="S23" s="960"/>
      <c r="T23" s="960"/>
      <c r="U23" s="960"/>
      <c r="V23" s="960"/>
      <c r="W23" s="960"/>
      <c r="X23" s="960"/>
      <c r="Y23" s="960"/>
      <c r="Z23" s="960"/>
      <c r="AA23" s="960"/>
      <c r="AB23" s="960"/>
      <c r="AC23" s="960"/>
      <c r="AD23" s="960"/>
      <c r="AE23" s="960"/>
      <c r="AF23" s="960"/>
      <c r="AG23" s="960"/>
      <c r="AH23" s="960"/>
      <c r="AI23" s="960"/>
      <c r="AJ23" s="960"/>
      <c r="AK23" s="420"/>
      <c r="AL23" s="420"/>
      <c r="AM23" s="420"/>
      <c r="AN23" s="420"/>
      <c r="AO23" s="420"/>
      <c r="AP23" s="420"/>
      <c r="AQ23" s="420"/>
      <c r="AR23" s="420"/>
      <c r="AS23" s="420"/>
      <c r="AT23" s="420"/>
      <c r="AU23" s="420"/>
      <c r="AV23" s="420"/>
      <c r="AW23" s="420"/>
      <c r="AX23" s="420"/>
      <c r="AY23" s="420"/>
      <c r="AZ23" s="420"/>
      <c r="BA23" s="420"/>
      <c r="BB23" s="298"/>
      <c r="BC23" s="298"/>
      <c r="BD23" s="298"/>
      <c r="BE23" s="298"/>
    </row>
    <row r="24" spans="1:61" s="299" customFormat="1" ht="18.75" customHeight="1">
      <c r="A24" s="948"/>
      <c r="B24" s="949"/>
      <c r="C24" s="949"/>
      <c r="D24" s="949"/>
      <c r="E24" s="949"/>
      <c r="F24" s="949"/>
      <c r="G24" s="949"/>
      <c r="H24" s="949"/>
      <c r="I24" s="950"/>
      <c r="J24" s="952"/>
      <c r="K24" s="954"/>
      <c r="L24" s="954"/>
      <c r="M24" s="954"/>
      <c r="N24" s="954"/>
      <c r="O24" s="956"/>
      <c r="P24" s="958"/>
      <c r="Q24" s="959"/>
      <c r="R24" s="960"/>
      <c r="S24" s="960"/>
      <c r="T24" s="960"/>
      <c r="U24" s="960"/>
      <c r="V24" s="960"/>
      <c r="W24" s="960"/>
      <c r="X24" s="960"/>
      <c r="Y24" s="960"/>
      <c r="Z24" s="960"/>
      <c r="AA24" s="960"/>
      <c r="AB24" s="960"/>
      <c r="AC24" s="960"/>
      <c r="AD24" s="960"/>
      <c r="AE24" s="960"/>
      <c r="AF24" s="960"/>
      <c r="AG24" s="960"/>
      <c r="AH24" s="960"/>
      <c r="AI24" s="960"/>
      <c r="AJ24" s="960"/>
      <c r="AK24" s="420"/>
      <c r="AL24" s="420"/>
      <c r="AM24" s="420"/>
      <c r="AN24" s="420"/>
      <c r="AO24" s="420"/>
      <c r="AP24" s="420"/>
      <c r="AQ24" s="420"/>
      <c r="AR24" s="420"/>
      <c r="AS24" s="420"/>
      <c r="AT24" s="420"/>
      <c r="AU24" s="420"/>
      <c r="AV24" s="420"/>
      <c r="AW24" s="420"/>
      <c r="AX24" s="420"/>
      <c r="AY24" s="420"/>
      <c r="AZ24" s="420"/>
      <c r="BA24" s="420"/>
      <c r="BB24" s="298"/>
      <c r="BC24" s="298"/>
      <c r="BD24" s="298"/>
      <c r="BE24" s="298"/>
    </row>
    <row r="25" spans="1:61" s="299" customFormat="1" ht="24.75" customHeight="1">
      <c r="A25" s="945" t="s">
        <v>380</v>
      </c>
      <c r="B25" s="946"/>
      <c r="C25" s="946"/>
      <c r="D25" s="946"/>
      <c r="E25" s="946"/>
      <c r="F25" s="946"/>
      <c r="G25" s="946"/>
      <c r="H25" s="946"/>
      <c r="I25" s="947"/>
      <c r="J25" s="951" t="s">
        <v>363</v>
      </c>
      <c r="K25" s="953" t="str">
        <f>IF(M4="就労移行支援",K18/6,IF(OR(M4="認定就労移行支援",M4="就労継続支援Ａ型",M4="就労継続支援Ｂ型"),K18/10,""))</f>
        <v/>
      </c>
      <c r="L25" s="953"/>
      <c r="M25" s="953"/>
      <c r="N25" s="953"/>
      <c r="O25" s="955" t="s">
        <v>364</v>
      </c>
      <c r="P25" s="957" t="s">
        <v>5</v>
      </c>
      <c r="Q25" s="961" t="s">
        <v>381</v>
      </c>
      <c r="R25" s="962"/>
      <c r="S25" s="962"/>
      <c r="T25" s="962"/>
      <c r="U25" s="962"/>
      <c r="V25" s="962"/>
      <c r="W25" s="962"/>
      <c r="X25" s="962"/>
      <c r="Y25" s="962"/>
      <c r="Z25" s="962"/>
      <c r="AA25" s="962"/>
      <c r="AB25" s="962"/>
      <c r="AC25" s="962"/>
      <c r="AD25" s="962"/>
      <c r="AE25" s="962"/>
      <c r="AF25" s="962"/>
      <c r="AG25" s="962"/>
      <c r="AH25" s="962"/>
      <c r="AI25" s="962"/>
      <c r="AJ25" s="962"/>
      <c r="AK25" s="962"/>
      <c r="AL25" s="962"/>
      <c r="AM25" s="962"/>
      <c r="AN25" s="962"/>
      <c r="AO25" s="962"/>
      <c r="AP25" s="962"/>
      <c r="AQ25" s="962"/>
      <c r="AR25" s="962"/>
      <c r="AS25" s="962"/>
      <c r="AT25" s="962"/>
      <c r="AU25" s="962"/>
      <c r="AV25" s="962"/>
      <c r="AW25" s="962"/>
      <c r="AX25" s="962"/>
      <c r="AY25" s="962"/>
      <c r="AZ25" s="962"/>
      <c r="BA25" s="962"/>
      <c r="BB25" s="298"/>
      <c r="BC25" s="298"/>
      <c r="BD25" s="298"/>
      <c r="BE25" s="298"/>
    </row>
    <row r="26" spans="1:61" s="299" customFormat="1" ht="24" customHeight="1">
      <c r="A26" s="948"/>
      <c r="B26" s="949"/>
      <c r="C26" s="949"/>
      <c r="D26" s="949"/>
      <c r="E26" s="949"/>
      <c r="F26" s="949"/>
      <c r="G26" s="949"/>
      <c r="H26" s="949"/>
      <c r="I26" s="950"/>
      <c r="J26" s="952"/>
      <c r="K26" s="954"/>
      <c r="L26" s="954"/>
      <c r="M26" s="954"/>
      <c r="N26" s="954"/>
      <c r="O26" s="956"/>
      <c r="P26" s="958"/>
      <c r="Q26" s="963"/>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62"/>
      <c r="AQ26" s="962"/>
      <c r="AR26" s="962"/>
      <c r="AS26" s="962"/>
      <c r="AT26" s="962"/>
      <c r="AU26" s="962"/>
      <c r="AV26" s="962"/>
      <c r="AW26" s="962"/>
      <c r="AX26" s="962"/>
      <c r="AY26" s="962"/>
      <c r="AZ26" s="962"/>
      <c r="BA26" s="962"/>
      <c r="BB26" s="298"/>
      <c r="BC26" s="298"/>
      <c r="BD26" s="298"/>
      <c r="BE26" s="298"/>
    </row>
    <row r="27" spans="1:61" s="299" customFormat="1" ht="24" customHeight="1">
      <c r="A27" s="945" t="s">
        <v>382</v>
      </c>
      <c r="B27" s="946"/>
      <c r="C27" s="946"/>
      <c r="D27" s="946"/>
      <c r="E27" s="946"/>
      <c r="F27" s="946"/>
      <c r="G27" s="946"/>
      <c r="H27" s="946"/>
      <c r="I27" s="947"/>
      <c r="J27" s="951" t="s">
        <v>363</v>
      </c>
      <c r="K27" s="953" t="e">
        <f>K18/15</f>
        <v>#DIV/0!</v>
      </c>
      <c r="L27" s="953"/>
      <c r="M27" s="953"/>
      <c r="N27" s="953"/>
      <c r="O27" s="955" t="s">
        <v>364</v>
      </c>
      <c r="P27" s="957" t="s">
        <v>5</v>
      </c>
      <c r="Q27" s="961" t="s">
        <v>383</v>
      </c>
      <c r="R27" s="962"/>
      <c r="S27" s="962"/>
      <c r="T27" s="962"/>
      <c r="U27" s="962"/>
      <c r="V27" s="962"/>
      <c r="W27" s="962"/>
      <c r="X27" s="962"/>
      <c r="Y27" s="962"/>
      <c r="Z27" s="962"/>
      <c r="AA27" s="962"/>
      <c r="AB27" s="962"/>
      <c r="AC27" s="962"/>
      <c r="AD27" s="962"/>
      <c r="AE27" s="962"/>
      <c r="AF27" s="962"/>
      <c r="AG27" s="962"/>
      <c r="AH27" s="962"/>
      <c r="AI27" s="962"/>
      <c r="AJ27" s="962"/>
      <c r="AK27" s="962"/>
      <c r="AL27" s="962"/>
      <c r="AM27" s="962"/>
      <c r="AN27" s="962"/>
      <c r="AO27" s="962"/>
      <c r="AP27" s="962"/>
      <c r="AQ27" s="962"/>
      <c r="AR27" s="962"/>
      <c r="AS27" s="962"/>
      <c r="AT27" s="962"/>
      <c r="AU27" s="962"/>
      <c r="AV27" s="962"/>
      <c r="AW27" s="962"/>
      <c r="AX27" s="962"/>
      <c r="AY27" s="962"/>
      <c r="AZ27" s="962"/>
      <c r="BA27" s="962"/>
      <c r="BB27" s="298"/>
      <c r="BC27" s="298"/>
      <c r="BD27" s="298"/>
      <c r="BE27" s="298"/>
    </row>
    <row r="28" spans="1:61" s="299" customFormat="1" ht="24" customHeight="1">
      <c r="A28" s="948"/>
      <c r="B28" s="949"/>
      <c r="C28" s="949"/>
      <c r="D28" s="949"/>
      <c r="E28" s="949"/>
      <c r="F28" s="949"/>
      <c r="G28" s="949"/>
      <c r="H28" s="949"/>
      <c r="I28" s="950"/>
      <c r="J28" s="952"/>
      <c r="K28" s="954"/>
      <c r="L28" s="954"/>
      <c r="M28" s="954"/>
      <c r="N28" s="954"/>
      <c r="O28" s="956"/>
      <c r="P28" s="958"/>
      <c r="Q28" s="963"/>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2"/>
      <c r="AY28" s="962"/>
      <c r="AZ28" s="962"/>
      <c r="BA28" s="962"/>
      <c r="BB28" s="298"/>
      <c r="BC28" s="298"/>
      <c r="BD28" s="298"/>
      <c r="BE28" s="298"/>
    </row>
    <row r="29" spans="1:61" s="299" customFormat="1" ht="47.25" customHeight="1">
      <c r="A29" s="941" t="s">
        <v>553</v>
      </c>
      <c r="B29" s="912"/>
      <c r="C29" s="912"/>
      <c r="D29" s="912"/>
      <c r="E29" s="912"/>
      <c r="F29" s="912"/>
      <c r="G29" s="912"/>
      <c r="H29" s="912"/>
      <c r="I29" s="913"/>
      <c r="J29" s="312" t="s">
        <v>363</v>
      </c>
      <c r="K29" s="971" t="e">
        <f>K18/6</f>
        <v>#DIV/0!</v>
      </c>
      <c r="L29" s="971"/>
      <c r="M29" s="971"/>
      <c r="N29" s="971"/>
      <c r="O29" s="421" t="s">
        <v>364</v>
      </c>
      <c r="P29" s="300" t="s">
        <v>5</v>
      </c>
      <c r="Q29" s="972" t="s">
        <v>554</v>
      </c>
      <c r="R29" s="973"/>
      <c r="S29" s="973"/>
      <c r="T29" s="973"/>
      <c r="U29" s="973"/>
      <c r="V29" s="973"/>
      <c r="W29" s="973"/>
      <c r="X29" s="973"/>
      <c r="Y29" s="973"/>
      <c r="Z29" s="973"/>
      <c r="AA29" s="973"/>
      <c r="AB29" s="973"/>
      <c r="AC29" s="974" t="s">
        <v>555</v>
      </c>
      <c r="AD29" s="974"/>
      <c r="AE29" s="974"/>
      <c r="AF29" s="974"/>
      <c r="AG29" s="974"/>
      <c r="AH29" s="974"/>
      <c r="AI29" s="974"/>
      <c r="AJ29" s="974"/>
      <c r="AK29" s="974"/>
      <c r="AL29" s="975" t="e">
        <f>K18/7.5</f>
        <v>#DIV/0!</v>
      </c>
      <c r="AM29" s="975"/>
      <c r="AN29" s="975"/>
      <c r="AO29" s="975"/>
      <c r="AP29" s="975"/>
      <c r="AQ29" s="975"/>
      <c r="AR29" s="975"/>
      <c r="AS29" s="959" t="s">
        <v>556</v>
      </c>
      <c r="AT29" s="960"/>
      <c r="AU29" s="960"/>
      <c r="AV29" s="960"/>
      <c r="AW29" s="960"/>
      <c r="AX29" s="960"/>
      <c r="AY29" s="960"/>
      <c r="AZ29" s="960"/>
      <c r="BA29" s="960"/>
      <c r="BB29" s="420"/>
      <c r="BC29" s="420"/>
      <c r="BD29" s="420"/>
      <c r="BE29" s="298"/>
    </row>
    <row r="30" spans="1:61" s="299" customFormat="1" ht="39" customHeight="1">
      <c r="A30" s="941" t="s">
        <v>384</v>
      </c>
      <c r="B30" s="912"/>
      <c r="C30" s="912"/>
      <c r="D30" s="912"/>
      <c r="E30" s="912"/>
      <c r="F30" s="912"/>
      <c r="G30" s="912"/>
      <c r="H30" s="912"/>
      <c r="I30" s="913"/>
      <c r="J30" s="312" t="s">
        <v>363</v>
      </c>
      <c r="K30" s="971">
        <f>AW12</f>
        <v>0</v>
      </c>
      <c r="L30" s="971"/>
      <c r="M30" s="971"/>
      <c r="N30" s="971"/>
      <c r="O30" s="421" t="s">
        <v>364</v>
      </c>
      <c r="P30" s="300" t="s">
        <v>5</v>
      </c>
      <c r="Q30" s="420" t="s">
        <v>385</v>
      </c>
      <c r="R30" s="420"/>
      <c r="S30" s="420"/>
      <c r="T30" s="420"/>
      <c r="U30" s="420"/>
      <c r="V30" s="420"/>
      <c r="W30" s="420"/>
      <c r="X30" s="420"/>
      <c r="Y30" s="420"/>
      <c r="Z30" s="420"/>
      <c r="AA30" s="420"/>
      <c r="AB30" s="420"/>
      <c r="AC30" s="974"/>
      <c r="AD30" s="974"/>
      <c r="AE30" s="974"/>
      <c r="AF30" s="974"/>
      <c r="AG30" s="974"/>
      <c r="AH30" s="974"/>
      <c r="AI30" s="974"/>
      <c r="AJ30" s="974"/>
      <c r="AK30" s="974"/>
      <c r="AL30" s="975"/>
      <c r="AM30" s="975"/>
      <c r="AN30" s="975"/>
      <c r="AO30" s="975"/>
      <c r="AP30" s="975"/>
      <c r="AQ30" s="975"/>
      <c r="AR30" s="975"/>
      <c r="AS30" s="959"/>
      <c r="AT30" s="960"/>
      <c r="AU30" s="960"/>
      <c r="AV30" s="960"/>
      <c r="AW30" s="960"/>
      <c r="AX30" s="960"/>
      <c r="AY30" s="960"/>
      <c r="AZ30" s="960"/>
      <c r="BA30" s="960"/>
      <c r="BB30" s="298"/>
      <c r="BC30" s="298"/>
      <c r="BD30" s="298"/>
      <c r="BE30" s="298"/>
    </row>
    <row r="31" spans="1:61" s="9" customFormat="1" ht="21" customHeight="1">
      <c r="A31" s="420" t="s">
        <v>386</v>
      </c>
      <c r="B31" s="316"/>
      <c r="C31" s="316"/>
      <c r="D31" s="316"/>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row>
    <row r="32" spans="1:61" s="299" customFormat="1" ht="21" customHeight="1">
      <c r="A32" s="317" t="s">
        <v>387</v>
      </c>
      <c r="B32" s="420"/>
      <c r="C32" s="420"/>
      <c r="D32" s="420"/>
      <c r="E32" s="420"/>
      <c r="F32" s="420"/>
      <c r="G32" s="420"/>
      <c r="H32" s="420"/>
      <c r="I32" s="420"/>
      <c r="J32" s="314"/>
      <c r="K32" s="318"/>
      <c r="L32" s="318"/>
      <c r="M32" s="318"/>
      <c r="N32" s="318"/>
      <c r="O32" s="314"/>
      <c r="P32" s="298"/>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298"/>
      <c r="BC32" s="298"/>
      <c r="BD32" s="298"/>
      <c r="BE32" s="298"/>
    </row>
    <row r="33" spans="1:57" s="299" customFormat="1" ht="32.25" customHeight="1">
      <c r="A33" s="964" t="s">
        <v>388</v>
      </c>
      <c r="B33" s="964"/>
      <c r="C33" s="964"/>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964"/>
      <c r="AM33" s="964"/>
      <c r="AN33" s="964"/>
      <c r="AO33" s="964"/>
      <c r="AP33" s="964"/>
      <c r="AQ33" s="964"/>
      <c r="AR33" s="964"/>
      <c r="AS33" s="964"/>
      <c r="AT33" s="964"/>
      <c r="AU33" s="964"/>
      <c r="AV33" s="964"/>
      <c r="AW33" s="964"/>
      <c r="AX33" s="964"/>
      <c r="AY33" s="964"/>
      <c r="AZ33" s="964"/>
      <c r="BA33" s="319"/>
      <c r="BB33" s="298"/>
      <c r="BC33" s="298"/>
      <c r="BD33" s="298"/>
      <c r="BE33" s="298"/>
    </row>
    <row r="34" spans="1:57" s="299" customFormat="1" ht="32.25" customHeight="1">
      <c r="A34" s="964" t="s">
        <v>389</v>
      </c>
      <c r="B34" s="964"/>
      <c r="C34" s="964"/>
      <c r="D34" s="964"/>
      <c r="E34" s="964"/>
      <c r="F34" s="964"/>
      <c r="G34" s="964"/>
      <c r="H34" s="964"/>
      <c r="I34" s="964"/>
      <c r="J34" s="964"/>
      <c r="K34" s="964"/>
      <c r="L34" s="964"/>
      <c r="M34" s="964"/>
      <c r="N34" s="964"/>
      <c r="O34" s="964"/>
      <c r="P34" s="964"/>
      <c r="Q34" s="964"/>
      <c r="R34" s="964"/>
      <c r="S34" s="964"/>
      <c r="T34" s="964"/>
      <c r="U34" s="964"/>
      <c r="V34" s="964"/>
      <c r="W34" s="964"/>
      <c r="X34" s="964"/>
      <c r="Y34" s="964"/>
      <c r="Z34" s="964"/>
      <c r="AA34" s="964"/>
      <c r="AB34" s="964"/>
      <c r="AC34" s="964"/>
      <c r="AD34" s="964"/>
      <c r="AE34" s="964"/>
      <c r="AF34" s="964"/>
      <c r="AG34" s="964"/>
      <c r="AH34" s="964"/>
      <c r="AI34" s="964"/>
      <c r="AJ34" s="964"/>
      <c r="AK34" s="964"/>
      <c r="AL34" s="964"/>
      <c r="AM34" s="964"/>
      <c r="AN34" s="964"/>
      <c r="AO34" s="964"/>
      <c r="AP34" s="964"/>
      <c r="AQ34" s="964"/>
      <c r="AR34" s="964"/>
      <c r="AS34" s="964"/>
      <c r="AT34" s="964"/>
      <c r="AU34" s="964"/>
      <c r="AV34" s="964"/>
      <c r="AW34" s="964"/>
      <c r="AX34" s="964"/>
      <c r="AY34" s="964"/>
      <c r="AZ34" s="964"/>
      <c r="BA34" s="420"/>
      <c r="BB34" s="298"/>
      <c r="BC34" s="298"/>
      <c r="BD34" s="298"/>
      <c r="BE34" s="298"/>
    </row>
    <row r="35" spans="1:57" s="299" customFormat="1" ht="31.5" customHeight="1">
      <c r="A35" s="965" t="s">
        <v>390</v>
      </c>
      <c r="B35" s="965"/>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965"/>
      <c r="AM35" s="965"/>
      <c r="AN35" s="965"/>
      <c r="AO35" s="965"/>
      <c r="AP35" s="965"/>
      <c r="AQ35" s="965"/>
      <c r="AR35" s="965"/>
      <c r="AS35" s="965"/>
      <c r="AT35" s="965"/>
      <c r="AU35" s="965"/>
      <c r="AV35" s="965"/>
      <c r="AW35" s="965"/>
      <c r="AX35" s="965"/>
      <c r="AY35" s="965"/>
      <c r="AZ35" s="965"/>
      <c r="BA35" s="298"/>
      <c r="BB35" s="298"/>
      <c r="BC35" s="298"/>
      <c r="BD35" s="298"/>
      <c r="BE35" s="298"/>
    </row>
    <row r="36" spans="1:57" s="9" customFormat="1" ht="16.5" customHeight="1">
      <c r="A36" s="320" t="s">
        <v>391</v>
      </c>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row>
    <row r="37" spans="1:57" s="9" customFormat="1" ht="13.5" customHeight="1">
      <c r="A37" s="320"/>
      <c r="B37" s="321" t="s">
        <v>392</v>
      </c>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297"/>
      <c r="BB37" s="297"/>
      <c r="BC37" s="297"/>
      <c r="BD37" s="297"/>
      <c r="BE37" s="297"/>
    </row>
    <row r="38" spans="1:57" s="9" customFormat="1" ht="13.5" customHeight="1">
      <c r="A38" s="320"/>
      <c r="B38" s="321" t="s">
        <v>393</v>
      </c>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297"/>
      <c r="BB38" s="297"/>
      <c r="BC38" s="297"/>
      <c r="BD38" s="297"/>
      <c r="BE38" s="297"/>
    </row>
    <row r="39" spans="1:57" s="9" customFormat="1" ht="13.5" customHeight="1">
      <c r="A39" s="321"/>
      <c r="B39" s="321" t="s">
        <v>394</v>
      </c>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1"/>
      <c r="AJ39" s="321"/>
      <c r="AK39" s="321"/>
      <c r="AL39" s="321"/>
      <c r="AM39" s="321"/>
      <c r="AN39" s="321"/>
      <c r="AO39" s="321"/>
      <c r="AP39" s="321"/>
      <c r="AQ39" s="321"/>
      <c r="AR39" s="321"/>
      <c r="AS39" s="321"/>
      <c r="AT39" s="321"/>
      <c r="AU39" s="321"/>
      <c r="AV39" s="321"/>
      <c r="AW39" s="321"/>
      <c r="AX39" s="321"/>
      <c r="AY39" s="321"/>
      <c r="AZ39" s="321"/>
      <c r="BA39" s="297"/>
      <c r="BB39" s="297"/>
      <c r="BC39" s="297"/>
      <c r="BD39" s="297"/>
      <c r="BE39" s="297"/>
    </row>
    <row r="40" spans="1:57" s="9" customFormat="1" ht="13.5" customHeight="1">
      <c r="A40" s="322"/>
      <c r="B40" s="321" t="s">
        <v>395</v>
      </c>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3"/>
      <c r="AY40" s="323"/>
      <c r="AZ40" s="323"/>
      <c r="BA40" s="297"/>
      <c r="BB40" s="297"/>
      <c r="BC40" s="297"/>
      <c r="BD40" s="297"/>
      <c r="BE40" s="297"/>
    </row>
    <row r="41" spans="1:57" s="9" customFormat="1" ht="13.5" customHeight="1">
      <c r="A41" s="316"/>
      <c r="B41" s="321" t="s">
        <v>396</v>
      </c>
      <c r="C41" s="316"/>
      <c r="D41" s="316"/>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row>
    <row r="42" spans="1:57" s="9" customFormat="1" ht="16.5" customHeight="1">
      <c r="A42" s="324" t="s">
        <v>397</v>
      </c>
      <c r="B42" s="321"/>
      <c r="C42" s="316"/>
      <c r="D42" s="316"/>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row>
    <row r="43" spans="1:57" ht="21" customHeight="1">
      <c r="A43" s="325"/>
      <c r="B43" s="326"/>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row>
    <row r="44" spans="1:57" ht="21" customHeight="1">
      <c r="A44" s="883" t="s">
        <v>422</v>
      </c>
      <c r="B44" s="883"/>
      <c r="C44" s="883"/>
      <c r="D44" s="883"/>
      <c r="E44" s="883"/>
      <c r="F44" s="883"/>
      <c r="G44" s="883"/>
      <c r="H44" s="883"/>
      <c r="I44" s="883"/>
      <c r="J44" s="883"/>
      <c r="K44" s="883"/>
      <c r="L44" s="883"/>
      <c r="M44" s="883"/>
      <c r="N44" s="883"/>
      <c r="O44" s="883"/>
      <c r="P44" s="883"/>
      <c r="Q44" s="883"/>
      <c r="R44" s="883"/>
      <c r="S44" s="883"/>
      <c r="T44" s="883"/>
      <c r="U44" s="883"/>
      <c r="V44" s="883"/>
      <c r="W44" s="883"/>
      <c r="X44" s="883"/>
      <c r="Y44" s="883"/>
      <c r="Z44" s="883"/>
      <c r="AA44" s="883"/>
      <c r="AB44" s="883"/>
      <c r="AC44" s="883"/>
      <c r="AD44" s="883"/>
      <c r="AE44" s="883"/>
      <c r="AF44" s="883"/>
      <c r="AG44" s="883"/>
      <c r="AH44" s="883"/>
      <c r="AI44" s="883"/>
      <c r="AJ44" s="883"/>
      <c r="AK44" s="883"/>
      <c r="AL44" s="883"/>
      <c r="AM44" s="883"/>
      <c r="AN44" s="883"/>
      <c r="AO44" s="883"/>
      <c r="AP44" s="883"/>
      <c r="AQ44" s="883"/>
      <c r="AR44" s="883"/>
      <c r="AS44" s="883"/>
      <c r="AT44" s="883"/>
      <c r="AU44" s="883"/>
      <c r="AV44" s="883"/>
      <c r="AW44" s="883"/>
      <c r="AX44" s="883"/>
      <c r="AY44" s="883"/>
      <c r="AZ44" s="883"/>
      <c r="BA44" s="883"/>
      <c r="BB44" s="296"/>
      <c r="BC44" s="296"/>
      <c r="BD44" s="296"/>
      <c r="BE44" s="296"/>
    </row>
    <row r="45" spans="1:57" s="9" customFormat="1" ht="21" customHeight="1" thickBot="1">
      <c r="A45" s="327"/>
      <c r="B45" s="327"/>
      <c r="C45" s="327"/>
      <c r="D45" s="327"/>
      <c r="E45" s="327"/>
    </row>
    <row r="46" spans="1:57" s="9" customFormat="1" ht="21" customHeight="1" thickBot="1">
      <c r="A46" s="886" t="s">
        <v>6</v>
      </c>
      <c r="B46" s="887"/>
      <c r="C46" s="887"/>
      <c r="D46" s="887"/>
      <c r="E46" s="887"/>
      <c r="F46" s="887"/>
      <c r="G46" s="887"/>
      <c r="H46" s="887"/>
      <c r="I46" s="887"/>
      <c r="J46" s="887"/>
      <c r="K46" s="887"/>
      <c r="L46" s="888"/>
      <c r="M46" s="966"/>
      <c r="N46" s="967"/>
      <c r="O46" s="967"/>
      <c r="P46" s="967"/>
      <c r="Q46" s="967"/>
      <c r="R46" s="967"/>
      <c r="S46" s="967"/>
      <c r="T46" s="967"/>
      <c r="U46" s="967"/>
      <c r="V46" s="967"/>
      <c r="W46" s="967"/>
      <c r="X46" s="967"/>
      <c r="Y46" s="967"/>
      <c r="Z46" s="967"/>
      <c r="AA46" s="967"/>
      <c r="AB46" s="968"/>
      <c r="AC46" s="892" t="s">
        <v>398</v>
      </c>
      <c r="AD46" s="893"/>
      <c r="AE46" s="893"/>
      <c r="AF46" s="893"/>
      <c r="AG46" s="893"/>
      <c r="AH46" s="893"/>
      <c r="AI46" s="893"/>
      <c r="AJ46" s="893"/>
      <c r="AK46" s="969"/>
      <c r="AL46" s="935"/>
      <c r="AM46" s="935"/>
      <c r="AN46" s="935"/>
      <c r="AO46" s="935"/>
      <c r="AP46" s="935"/>
      <c r="AQ46" s="935"/>
      <c r="AR46" s="935"/>
      <c r="AS46" s="935"/>
      <c r="AT46" s="935"/>
      <c r="AU46" s="935"/>
      <c r="AV46" s="935"/>
      <c r="AW46" s="935"/>
      <c r="AX46" s="935"/>
      <c r="AY46" s="935"/>
      <c r="AZ46" s="970"/>
    </row>
    <row r="47" spans="1:57" s="299" customFormat="1" ht="21" customHeight="1" thickBot="1">
      <c r="A47" s="900" t="s">
        <v>399</v>
      </c>
      <c r="B47" s="901"/>
      <c r="C47" s="901"/>
      <c r="D47" s="901"/>
      <c r="E47" s="901"/>
      <c r="F47" s="902"/>
      <c r="G47" s="902"/>
      <c r="H47" s="903" t="s">
        <v>339</v>
      </c>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903"/>
      <c r="AK47" s="903"/>
      <c r="AL47" s="903"/>
      <c r="AM47" s="903"/>
      <c r="AN47" s="903"/>
      <c r="AO47" s="903"/>
      <c r="AP47" s="903"/>
      <c r="AQ47" s="903"/>
      <c r="AR47" s="903"/>
      <c r="AS47" s="903"/>
      <c r="AT47" s="903"/>
      <c r="AU47" s="903"/>
      <c r="AV47" s="903"/>
      <c r="AW47" s="903"/>
      <c r="AX47" s="903"/>
      <c r="AY47" s="903"/>
      <c r="AZ47" s="904"/>
      <c r="BA47" s="298"/>
      <c r="BB47" s="298"/>
      <c r="BC47" s="298"/>
      <c r="BD47" s="298"/>
      <c r="BE47" s="298"/>
    </row>
    <row r="48" spans="1:57" s="299" customFormat="1" ht="21" customHeight="1">
      <c r="A48" s="422"/>
      <c r="B48" s="423"/>
      <c r="C48" s="423"/>
      <c r="D48" s="423"/>
      <c r="E48" s="423"/>
      <c r="F48" s="423"/>
      <c r="G48" s="423"/>
      <c r="H48" s="423"/>
      <c r="I48" s="423"/>
      <c r="J48" s="423"/>
      <c r="K48" s="423"/>
      <c r="L48" s="300"/>
      <c r="M48" s="905" t="s">
        <v>340</v>
      </c>
      <c r="N48" s="905"/>
      <c r="O48" s="905"/>
      <c r="P48" s="905" t="s">
        <v>341</v>
      </c>
      <c r="Q48" s="905"/>
      <c r="R48" s="905"/>
      <c r="S48" s="905" t="s">
        <v>342</v>
      </c>
      <c r="T48" s="905"/>
      <c r="U48" s="905"/>
      <c r="V48" s="905" t="s">
        <v>343</v>
      </c>
      <c r="W48" s="905"/>
      <c r="X48" s="905"/>
      <c r="Y48" s="905" t="s">
        <v>344</v>
      </c>
      <c r="Z48" s="905"/>
      <c r="AA48" s="905"/>
      <c r="AB48" s="905" t="s">
        <v>345</v>
      </c>
      <c r="AC48" s="905"/>
      <c r="AD48" s="905"/>
      <c r="AE48" s="905" t="s">
        <v>346</v>
      </c>
      <c r="AF48" s="905"/>
      <c r="AG48" s="905"/>
      <c r="AH48" s="905" t="s">
        <v>347</v>
      </c>
      <c r="AI48" s="905"/>
      <c r="AJ48" s="905"/>
      <c r="AK48" s="905" t="s">
        <v>348</v>
      </c>
      <c r="AL48" s="905"/>
      <c r="AM48" s="905"/>
      <c r="AN48" s="905" t="s">
        <v>349</v>
      </c>
      <c r="AO48" s="905"/>
      <c r="AP48" s="905"/>
      <c r="AQ48" s="905" t="s">
        <v>350</v>
      </c>
      <c r="AR48" s="905"/>
      <c r="AS48" s="905"/>
      <c r="AT48" s="905" t="s">
        <v>351</v>
      </c>
      <c r="AU48" s="905"/>
      <c r="AV48" s="908"/>
      <c r="AW48" s="897" t="s">
        <v>352</v>
      </c>
      <c r="AX48" s="898"/>
      <c r="AY48" s="898"/>
      <c r="AZ48" s="899"/>
      <c r="BA48" s="298"/>
      <c r="BB48" s="298"/>
      <c r="BC48" s="298"/>
      <c r="BD48" s="298"/>
      <c r="BE48" s="298"/>
    </row>
    <row r="49" spans="1:64" s="299" customFormat="1" ht="21" customHeight="1">
      <c r="A49" s="914" t="s">
        <v>353</v>
      </c>
      <c r="B49" s="915"/>
      <c r="C49" s="915"/>
      <c r="D49" s="915"/>
      <c r="E49" s="915"/>
      <c r="F49" s="915"/>
      <c r="G49" s="915"/>
      <c r="H49" s="915"/>
      <c r="I49" s="915"/>
      <c r="J49" s="915"/>
      <c r="K49" s="915"/>
      <c r="L49" s="916"/>
      <c r="M49" s="976"/>
      <c r="N49" s="910"/>
      <c r="O49" s="300" t="s">
        <v>105</v>
      </c>
      <c r="P49" s="976"/>
      <c r="Q49" s="910"/>
      <c r="R49" s="300" t="s">
        <v>105</v>
      </c>
      <c r="S49" s="976"/>
      <c r="T49" s="910"/>
      <c r="U49" s="300" t="s">
        <v>105</v>
      </c>
      <c r="V49" s="976"/>
      <c r="W49" s="910"/>
      <c r="X49" s="300" t="s">
        <v>105</v>
      </c>
      <c r="Y49" s="976"/>
      <c r="Z49" s="910"/>
      <c r="AA49" s="300" t="s">
        <v>105</v>
      </c>
      <c r="AB49" s="976"/>
      <c r="AC49" s="910"/>
      <c r="AD49" s="300" t="s">
        <v>105</v>
      </c>
      <c r="AE49" s="976"/>
      <c r="AF49" s="910"/>
      <c r="AG49" s="300" t="s">
        <v>105</v>
      </c>
      <c r="AH49" s="976"/>
      <c r="AI49" s="910"/>
      <c r="AJ49" s="300" t="s">
        <v>105</v>
      </c>
      <c r="AK49" s="976"/>
      <c r="AL49" s="910"/>
      <c r="AM49" s="300" t="s">
        <v>105</v>
      </c>
      <c r="AN49" s="976"/>
      <c r="AO49" s="910"/>
      <c r="AP49" s="300" t="s">
        <v>105</v>
      </c>
      <c r="AQ49" s="976"/>
      <c r="AR49" s="910"/>
      <c r="AS49" s="300" t="s">
        <v>105</v>
      </c>
      <c r="AT49" s="976"/>
      <c r="AU49" s="910"/>
      <c r="AV49" s="423" t="s">
        <v>105</v>
      </c>
      <c r="AW49" s="909">
        <f t="shared" ref="AW49:AW56" si="1">M49+P49+S49+V49+Y49+AB49+AE49+AH49+AK49+AN49+AQ49+AT49</f>
        <v>0</v>
      </c>
      <c r="AX49" s="910"/>
      <c r="AY49" s="910"/>
      <c r="AZ49" s="301" t="s">
        <v>105</v>
      </c>
      <c r="BA49" s="298"/>
      <c r="BB49" s="298"/>
      <c r="BC49" s="298"/>
      <c r="BD49" s="298"/>
      <c r="BE49" s="298"/>
    </row>
    <row r="50" spans="1:64" s="299" customFormat="1" ht="21" customHeight="1">
      <c r="A50" s="911" t="s">
        <v>354</v>
      </c>
      <c r="B50" s="912"/>
      <c r="C50" s="912"/>
      <c r="D50" s="912"/>
      <c r="E50" s="912"/>
      <c r="F50" s="912"/>
      <c r="G50" s="912"/>
      <c r="H50" s="912"/>
      <c r="I50" s="912"/>
      <c r="J50" s="912"/>
      <c r="K50" s="912"/>
      <c r="L50" s="913"/>
      <c r="M50" s="976"/>
      <c r="N50" s="910"/>
      <c r="O50" s="300" t="s">
        <v>105</v>
      </c>
      <c r="P50" s="976"/>
      <c r="Q50" s="910"/>
      <c r="R50" s="300" t="s">
        <v>105</v>
      </c>
      <c r="S50" s="976"/>
      <c r="T50" s="910"/>
      <c r="U50" s="300" t="s">
        <v>105</v>
      </c>
      <c r="V50" s="976"/>
      <c r="W50" s="910"/>
      <c r="X50" s="300" t="s">
        <v>105</v>
      </c>
      <c r="Y50" s="976"/>
      <c r="Z50" s="910"/>
      <c r="AA50" s="300" t="s">
        <v>105</v>
      </c>
      <c r="AB50" s="976"/>
      <c r="AC50" s="910"/>
      <c r="AD50" s="300" t="s">
        <v>105</v>
      </c>
      <c r="AE50" s="976"/>
      <c r="AF50" s="910"/>
      <c r="AG50" s="300" t="s">
        <v>105</v>
      </c>
      <c r="AH50" s="976"/>
      <c r="AI50" s="910"/>
      <c r="AJ50" s="300" t="s">
        <v>105</v>
      </c>
      <c r="AK50" s="976"/>
      <c r="AL50" s="910"/>
      <c r="AM50" s="300" t="s">
        <v>105</v>
      </c>
      <c r="AN50" s="976"/>
      <c r="AO50" s="910"/>
      <c r="AP50" s="300" t="s">
        <v>105</v>
      </c>
      <c r="AQ50" s="976"/>
      <c r="AR50" s="910"/>
      <c r="AS50" s="300" t="s">
        <v>105</v>
      </c>
      <c r="AT50" s="976"/>
      <c r="AU50" s="910"/>
      <c r="AV50" s="423" t="s">
        <v>105</v>
      </c>
      <c r="AW50" s="909">
        <f t="shared" si="1"/>
        <v>0</v>
      </c>
      <c r="AX50" s="910"/>
      <c r="AY50" s="910"/>
      <c r="AZ50" s="301" t="s">
        <v>105</v>
      </c>
      <c r="BA50" s="298"/>
      <c r="BB50" s="298"/>
      <c r="BC50" s="298"/>
      <c r="BD50" s="298"/>
      <c r="BE50" s="298"/>
    </row>
    <row r="51" spans="1:64" s="299" customFormat="1" ht="21" customHeight="1" thickBot="1">
      <c r="A51" s="928" t="s">
        <v>355</v>
      </c>
      <c r="B51" s="929"/>
      <c r="C51" s="929"/>
      <c r="D51" s="929"/>
      <c r="E51" s="929"/>
      <c r="F51" s="929"/>
      <c r="G51" s="929"/>
      <c r="H51" s="929"/>
      <c r="I51" s="929"/>
      <c r="J51" s="929"/>
      <c r="K51" s="929"/>
      <c r="L51" s="930"/>
      <c r="M51" s="931"/>
      <c r="N51" s="922"/>
      <c r="O51" s="302" t="s">
        <v>356</v>
      </c>
      <c r="P51" s="931"/>
      <c r="Q51" s="922"/>
      <c r="R51" s="302" t="s">
        <v>356</v>
      </c>
      <c r="S51" s="931"/>
      <c r="T51" s="922"/>
      <c r="U51" s="302" t="s">
        <v>356</v>
      </c>
      <c r="V51" s="931"/>
      <c r="W51" s="922"/>
      <c r="X51" s="302" t="s">
        <v>356</v>
      </c>
      <c r="Y51" s="931"/>
      <c r="Z51" s="922"/>
      <c r="AA51" s="302" t="s">
        <v>356</v>
      </c>
      <c r="AB51" s="931"/>
      <c r="AC51" s="922"/>
      <c r="AD51" s="302" t="s">
        <v>356</v>
      </c>
      <c r="AE51" s="931"/>
      <c r="AF51" s="922"/>
      <c r="AG51" s="302" t="s">
        <v>356</v>
      </c>
      <c r="AH51" s="931"/>
      <c r="AI51" s="922"/>
      <c r="AJ51" s="302" t="s">
        <v>356</v>
      </c>
      <c r="AK51" s="931"/>
      <c r="AL51" s="922"/>
      <c r="AM51" s="302" t="s">
        <v>356</v>
      </c>
      <c r="AN51" s="931"/>
      <c r="AO51" s="922"/>
      <c r="AP51" s="302" t="s">
        <v>356</v>
      </c>
      <c r="AQ51" s="931"/>
      <c r="AR51" s="922"/>
      <c r="AS51" s="302" t="s">
        <v>356</v>
      </c>
      <c r="AT51" s="931"/>
      <c r="AU51" s="922"/>
      <c r="AV51" s="303" t="s">
        <v>356</v>
      </c>
      <c r="AW51" s="921">
        <f t="shared" si="1"/>
        <v>0</v>
      </c>
      <c r="AX51" s="922"/>
      <c r="AY51" s="922"/>
      <c r="AZ51" s="304" t="s">
        <v>356</v>
      </c>
      <c r="BA51" s="298"/>
      <c r="BB51" s="298"/>
      <c r="BC51" s="298"/>
      <c r="BD51" s="298"/>
      <c r="BE51" s="298"/>
    </row>
    <row r="52" spans="1:64" s="299" customFormat="1" ht="21" customHeight="1">
      <c r="A52" s="923" t="s">
        <v>357</v>
      </c>
      <c r="B52" s="924"/>
      <c r="C52" s="924"/>
      <c r="D52" s="924"/>
      <c r="E52" s="924"/>
      <c r="F52" s="924"/>
      <c r="G52" s="924"/>
      <c r="H52" s="924"/>
      <c r="I52" s="924"/>
      <c r="J52" s="924"/>
      <c r="K52" s="924"/>
      <c r="L52" s="925"/>
      <c r="M52" s="977"/>
      <c r="N52" s="918"/>
      <c r="O52" s="305" t="s">
        <v>356</v>
      </c>
      <c r="P52" s="977"/>
      <c r="Q52" s="918"/>
      <c r="R52" s="305" t="s">
        <v>356</v>
      </c>
      <c r="S52" s="977"/>
      <c r="T52" s="918"/>
      <c r="U52" s="305" t="s">
        <v>356</v>
      </c>
      <c r="V52" s="977"/>
      <c r="W52" s="918"/>
      <c r="X52" s="305" t="s">
        <v>356</v>
      </c>
      <c r="Y52" s="977"/>
      <c r="Z52" s="918"/>
      <c r="AA52" s="305" t="s">
        <v>356</v>
      </c>
      <c r="AB52" s="977"/>
      <c r="AC52" s="918"/>
      <c r="AD52" s="305" t="s">
        <v>356</v>
      </c>
      <c r="AE52" s="977"/>
      <c r="AF52" s="918"/>
      <c r="AG52" s="305" t="s">
        <v>356</v>
      </c>
      <c r="AH52" s="977"/>
      <c r="AI52" s="918"/>
      <c r="AJ52" s="305" t="s">
        <v>356</v>
      </c>
      <c r="AK52" s="977"/>
      <c r="AL52" s="918"/>
      <c r="AM52" s="305" t="s">
        <v>356</v>
      </c>
      <c r="AN52" s="977"/>
      <c r="AO52" s="918"/>
      <c r="AP52" s="305" t="s">
        <v>356</v>
      </c>
      <c r="AQ52" s="977"/>
      <c r="AR52" s="918"/>
      <c r="AS52" s="305" t="s">
        <v>356</v>
      </c>
      <c r="AT52" s="977"/>
      <c r="AU52" s="918"/>
      <c r="AV52" s="306" t="s">
        <v>356</v>
      </c>
      <c r="AW52" s="917">
        <f t="shared" si="1"/>
        <v>0</v>
      </c>
      <c r="AX52" s="918"/>
      <c r="AY52" s="918"/>
      <c r="AZ52" s="307" t="s">
        <v>356</v>
      </c>
      <c r="BA52" s="298"/>
      <c r="BB52" s="298"/>
      <c r="BC52" s="298"/>
      <c r="BD52" s="298"/>
      <c r="BE52" s="298"/>
    </row>
    <row r="53" spans="1:64" s="299" customFormat="1" ht="21" customHeight="1" thickBot="1">
      <c r="A53" s="928" t="s">
        <v>358</v>
      </c>
      <c r="B53" s="929"/>
      <c r="C53" s="929"/>
      <c r="D53" s="929"/>
      <c r="E53" s="929"/>
      <c r="F53" s="929"/>
      <c r="G53" s="929"/>
      <c r="H53" s="929"/>
      <c r="I53" s="929"/>
      <c r="J53" s="929"/>
      <c r="K53" s="929"/>
      <c r="L53" s="930"/>
      <c r="M53" s="931">
        <f>M51-M52</f>
        <v>0</v>
      </c>
      <c r="N53" s="922"/>
      <c r="O53" s="302" t="s">
        <v>356</v>
      </c>
      <c r="P53" s="931">
        <f>P51-P52</f>
        <v>0</v>
      </c>
      <c r="Q53" s="922"/>
      <c r="R53" s="302" t="s">
        <v>356</v>
      </c>
      <c r="S53" s="931">
        <f>S51-S52</f>
        <v>0</v>
      </c>
      <c r="T53" s="922"/>
      <c r="U53" s="302" t="s">
        <v>356</v>
      </c>
      <c r="V53" s="931">
        <f>V51-V52</f>
        <v>0</v>
      </c>
      <c r="W53" s="922"/>
      <c r="X53" s="302" t="s">
        <v>356</v>
      </c>
      <c r="Y53" s="931">
        <f>Y51-Y52</f>
        <v>0</v>
      </c>
      <c r="Z53" s="922"/>
      <c r="AA53" s="302" t="s">
        <v>356</v>
      </c>
      <c r="AB53" s="931">
        <f>AB51-AB52</f>
        <v>0</v>
      </c>
      <c r="AC53" s="922"/>
      <c r="AD53" s="302" t="s">
        <v>356</v>
      </c>
      <c r="AE53" s="931">
        <f>AE51-AE52</f>
        <v>0</v>
      </c>
      <c r="AF53" s="922"/>
      <c r="AG53" s="302" t="s">
        <v>356</v>
      </c>
      <c r="AH53" s="931">
        <f>AH51-AH52</f>
        <v>0</v>
      </c>
      <c r="AI53" s="922"/>
      <c r="AJ53" s="302" t="s">
        <v>356</v>
      </c>
      <c r="AK53" s="931">
        <f>AK51-AK52</f>
        <v>0</v>
      </c>
      <c r="AL53" s="922"/>
      <c r="AM53" s="302" t="s">
        <v>356</v>
      </c>
      <c r="AN53" s="931">
        <f>AN51-AN52</f>
        <v>0</v>
      </c>
      <c r="AO53" s="922"/>
      <c r="AP53" s="302" t="s">
        <v>356</v>
      </c>
      <c r="AQ53" s="931">
        <f>AQ51-AQ52</f>
        <v>0</v>
      </c>
      <c r="AR53" s="922"/>
      <c r="AS53" s="302" t="s">
        <v>356</v>
      </c>
      <c r="AT53" s="931">
        <f>AT51-AT52</f>
        <v>0</v>
      </c>
      <c r="AU53" s="922"/>
      <c r="AV53" s="303" t="s">
        <v>356</v>
      </c>
      <c r="AW53" s="921">
        <f t="shared" si="1"/>
        <v>0</v>
      </c>
      <c r="AX53" s="922"/>
      <c r="AY53" s="922"/>
      <c r="AZ53" s="304" t="s">
        <v>356</v>
      </c>
      <c r="BA53" s="298"/>
      <c r="BB53" s="298"/>
      <c r="BC53" s="298"/>
      <c r="BD53" s="298"/>
      <c r="BE53" s="298"/>
    </row>
    <row r="54" spans="1:64" s="299" customFormat="1" ht="32.25" customHeight="1" thickBot="1">
      <c r="A54" s="934" t="s">
        <v>359</v>
      </c>
      <c r="B54" s="935"/>
      <c r="C54" s="935"/>
      <c r="D54" s="935"/>
      <c r="E54" s="935"/>
      <c r="F54" s="935"/>
      <c r="G54" s="935"/>
      <c r="H54" s="935"/>
      <c r="I54" s="935"/>
      <c r="J54" s="935"/>
      <c r="K54" s="935"/>
      <c r="L54" s="936"/>
      <c r="M54" s="978"/>
      <c r="N54" s="887"/>
      <c r="O54" s="308" t="s">
        <v>356</v>
      </c>
      <c r="P54" s="978"/>
      <c r="Q54" s="887"/>
      <c r="R54" s="308" t="s">
        <v>356</v>
      </c>
      <c r="S54" s="978"/>
      <c r="T54" s="887"/>
      <c r="U54" s="308" t="s">
        <v>356</v>
      </c>
      <c r="V54" s="978"/>
      <c r="W54" s="887"/>
      <c r="X54" s="308" t="s">
        <v>356</v>
      </c>
      <c r="Y54" s="978"/>
      <c r="Z54" s="887"/>
      <c r="AA54" s="308" t="s">
        <v>356</v>
      </c>
      <c r="AB54" s="978"/>
      <c r="AC54" s="887"/>
      <c r="AD54" s="308" t="s">
        <v>356</v>
      </c>
      <c r="AE54" s="978"/>
      <c r="AF54" s="887"/>
      <c r="AG54" s="308" t="s">
        <v>356</v>
      </c>
      <c r="AH54" s="978"/>
      <c r="AI54" s="887"/>
      <c r="AJ54" s="308" t="s">
        <v>356</v>
      </c>
      <c r="AK54" s="978"/>
      <c r="AL54" s="887"/>
      <c r="AM54" s="308" t="s">
        <v>356</v>
      </c>
      <c r="AN54" s="978"/>
      <c r="AO54" s="887"/>
      <c r="AP54" s="308" t="s">
        <v>356</v>
      </c>
      <c r="AQ54" s="978"/>
      <c r="AR54" s="887"/>
      <c r="AS54" s="308" t="s">
        <v>356</v>
      </c>
      <c r="AT54" s="978"/>
      <c r="AU54" s="887"/>
      <c r="AV54" s="309" t="s">
        <v>356</v>
      </c>
      <c r="AW54" s="886">
        <f t="shared" si="1"/>
        <v>0</v>
      </c>
      <c r="AX54" s="887"/>
      <c r="AY54" s="887"/>
      <c r="AZ54" s="310" t="s">
        <v>356</v>
      </c>
      <c r="BA54" s="298"/>
      <c r="BB54" s="298"/>
      <c r="BC54" s="298"/>
      <c r="BD54" s="298"/>
      <c r="BE54" s="298"/>
    </row>
    <row r="55" spans="1:64" s="299" customFormat="1" ht="32.25" customHeight="1" thickBot="1">
      <c r="A55" s="939" t="s">
        <v>360</v>
      </c>
      <c r="B55" s="940"/>
      <c r="C55" s="940"/>
      <c r="D55" s="940"/>
      <c r="E55" s="940"/>
      <c r="F55" s="940"/>
      <c r="G55" s="940"/>
      <c r="H55" s="940"/>
      <c r="I55" s="940"/>
      <c r="J55" s="940"/>
      <c r="K55" s="940"/>
      <c r="L55" s="940"/>
      <c r="M55" s="978"/>
      <c r="N55" s="887"/>
      <c r="O55" s="308" t="s">
        <v>356</v>
      </c>
      <c r="P55" s="978"/>
      <c r="Q55" s="887"/>
      <c r="R55" s="308" t="s">
        <v>356</v>
      </c>
      <c r="S55" s="978"/>
      <c r="T55" s="887"/>
      <c r="U55" s="308" t="s">
        <v>356</v>
      </c>
      <c r="V55" s="978"/>
      <c r="W55" s="887"/>
      <c r="X55" s="308" t="s">
        <v>356</v>
      </c>
      <c r="Y55" s="978"/>
      <c r="Z55" s="887"/>
      <c r="AA55" s="308" t="s">
        <v>356</v>
      </c>
      <c r="AB55" s="978"/>
      <c r="AC55" s="887"/>
      <c r="AD55" s="308" t="s">
        <v>356</v>
      </c>
      <c r="AE55" s="978"/>
      <c r="AF55" s="887"/>
      <c r="AG55" s="308" t="s">
        <v>356</v>
      </c>
      <c r="AH55" s="978"/>
      <c r="AI55" s="887"/>
      <c r="AJ55" s="308" t="s">
        <v>356</v>
      </c>
      <c r="AK55" s="978"/>
      <c r="AL55" s="887"/>
      <c r="AM55" s="308" t="s">
        <v>356</v>
      </c>
      <c r="AN55" s="978"/>
      <c r="AO55" s="887"/>
      <c r="AP55" s="308" t="s">
        <v>356</v>
      </c>
      <c r="AQ55" s="978"/>
      <c r="AR55" s="887"/>
      <c r="AS55" s="308" t="s">
        <v>356</v>
      </c>
      <c r="AT55" s="978"/>
      <c r="AU55" s="887"/>
      <c r="AV55" s="309" t="s">
        <v>356</v>
      </c>
      <c r="AW55" s="886">
        <f t="shared" si="1"/>
        <v>0</v>
      </c>
      <c r="AX55" s="887"/>
      <c r="AY55" s="887"/>
      <c r="AZ55" s="310" t="s">
        <v>356</v>
      </c>
      <c r="BA55" s="298"/>
      <c r="BB55" s="298"/>
      <c r="BC55" s="298"/>
      <c r="BD55" s="298"/>
      <c r="BE55" s="298"/>
    </row>
    <row r="56" spans="1:64" s="299" customFormat="1" ht="21" customHeight="1" thickBot="1">
      <c r="A56" s="939" t="s">
        <v>400</v>
      </c>
      <c r="B56" s="940"/>
      <c r="C56" s="940"/>
      <c r="D56" s="940"/>
      <c r="E56" s="940"/>
      <c r="F56" s="940"/>
      <c r="G56" s="940"/>
      <c r="H56" s="940"/>
      <c r="I56" s="940"/>
      <c r="J56" s="940"/>
      <c r="K56" s="940"/>
      <c r="L56" s="940"/>
      <c r="M56" s="978"/>
      <c r="N56" s="887"/>
      <c r="O56" s="308" t="s">
        <v>356</v>
      </c>
      <c r="P56" s="978"/>
      <c r="Q56" s="887"/>
      <c r="R56" s="308" t="s">
        <v>356</v>
      </c>
      <c r="S56" s="978"/>
      <c r="T56" s="887"/>
      <c r="U56" s="308" t="s">
        <v>356</v>
      </c>
      <c r="V56" s="978"/>
      <c r="W56" s="887"/>
      <c r="X56" s="308" t="s">
        <v>356</v>
      </c>
      <c r="Y56" s="978"/>
      <c r="Z56" s="887"/>
      <c r="AA56" s="308" t="s">
        <v>356</v>
      </c>
      <c r="AB56" s="978"/>
      <c r="AC56" s="887"/>
      <c r="AD56" s="308" t="s">
        <v>356</v>
      </c>
      <c r="AE56" s="978"/>
      <c r="AF56" s="887"/>
      <c r="AG56" s="308" t="s">
        <v>356</v>
      </c>
      <c r="AH56" s="978"/>
      <c r="AI56" s="887"/>
      <c r="AJ56" s="308" t="s">
        <v>356</v>
      </c>
      <c r="AK56" s="978"/>
      <c r="AL56" s="887"/>
      <c r="AM56" s="308" t="s">
        <v>356</v>
      </c>
      <c r="AN56" s="978"/>
      <c r="AO56" s="887"/>
      <c r="AP56" s="308" t="s">
        <v>356</v>
      </c>
      <c r="AQ56" s="978"/>
      <c r="AR56" s="887"/>
      <c r="AS56" s="308" t="s">
        <v>356</v>
      </c>
      <c r="AT56" s="978"/>
      <c r="AU56" s="887"/>
      <c r="AV56" s="309" t="s">
        <v>356</v>
      </c>
      <c r="AW56" s="886">
        <f t="shared" si="1"/>
        <v>0</v>
      </c>
      <c r="AX56" s="887"/>
      <c r="AY56" s="887"/>
      <c r="AZ56" s="310" t="s">
        <v>356</v>
      </c>
      <c r="BA56" s="298"/>
      <c r="BB56" s="298"/>
      <c r="BC56" s="298"/>
      <c r="BD56" s="298"/>
      <c r="BE56" s="298"/>
    </row>
    <row r="57" spans="1:64" s="299" customFormat="1" ht="21" customHeight="1">
      <c r="A57" s="420" t="s">
        <v>361</v>
      </c>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row>
    <row r="58" spans="1:64" s="299" customFormat="1" ht="27" customHeight="1">
      <c r="A58" s="311" t="s">
        <v>362</v>
      </c>
      <c r="B58" s="423"/>
      <c r="C58" s="423"/>
      <c r="D58" s="423"/>
      <c r="E58" s="423"/>
      <c r="F58" s="423"/>
      <c r="G58" s="423"/>
      <c r="H58" s="423"/>
      <c r="I58" s="300"/>
      <c r="J58" s="312" t="s">
        <v>363</v>
      </c>
      <c r="K58" s="937">
        <f>AW49</f>
        <v>0</v>
      </c>
      <c r="L58" s="937"/>
      <c r="M58" s="937"/>
      <c r="N58" s="937"/>
      <c r="O58" s="421" t="s">
        <v>364</v>
      </c>
      <c r="P58" s="300" t="s">
        <v>105</v>
      </c>
      <c r="Q58" s="420" t="s">
        <v>401</v>
      </c>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row>
    <row r="59" spans="1:64" s="299" customFormat="1" ht="27" customHeight="1">
      <c r="A59" s="938" t="s">
        <v>366</v>
      </c>
      <c r="B59" s="912"/>
      <c r="C59" s="912"/>
      <c r="D59" s="912"/>
      <c r="E59" s="912"/>
      <c r="F59" s="912"/>
      <c r="G59" s="912"/>
      <c r="H59" s="912"/>
      <c r="I59" s="913"/>
      <c r="J59" s="312" t="s">
        <v>363</v>
      </c>
      <c r="K59" s="937">
        <f>AW50</f>
        <v>0</v>
      </c>
      <c r="L59" s="937"/>
      <c r="M59" s="937"/>
      <c r="N59" s="937"/>
      <c r="O59" s="421" t="s">
        <v>364</v>
      </c>
      <c r="P59" s="300" t="s">
        <v>105</v>
      </c>
      <c r="Q59" s="425" t="s">
        <v>402</v>
      </c>
      <c r="R59" s="298"/>
      <c r="S59" s="298"/>
      <c r="T59" s="298"/>
      <c r="U59" s="298"/>
      <c r="V59" s="298"/>
      <c r="W59" s="298"/>
      <c r="X59" s="298"/>
      <c r="Y59" s="298"/>
      <c r="Z59" s="298"/>
      <c r="AA59" s="298"/>
      <c r="AB59" s="298"/>
      <c r="AC59" s="298"/>
      <c r="AD59" s="298"/>
      <c r="AE59" s="298"/>
      <c r="AF59" s="298"/>
      <c r="AG59" s="298"/>
      <c r="AH59" s="298"/>
      <c r="AI59" s="298"/>
      <c r="AJ59" s="425"/>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row>
    <row r="60" spans="1:64" s="299" customFormat="1" ht="27" customHeight="1">
      <c r="A60" s="311" t="s">
        <v>368</v>
      </c>
      <c r="B60" s="423"/>
      <c r="C60" s="423"/>
      <c r="D60" s="423"/>
      <c r="E60" s="423"/>
      <c r="F60" s="423"/>
      <c r="G60" s="423"/>
      <c r="H60" s="423"/>
      <c r="I60" s="300"/>
      <c r="J60" s="312" t="s">
        <v>363</v>
      </c>
      <c r="K60" s="937">
        <f>AW51</f>
        <v>0</v>
      </c>
      <c r="L60" s="937"/>
      <c r="M60" s="937"/>
      <c r="N60" s="937"/>
      <c r="O60" s="421" t="s">
        <v>364</v>
      </c>
      <c r="P60" s="300" t="s">
        <v>5</v>
      </c>
      <c r="Q60" s="424" t="s">
        <v>403</v>
      </c>
      <c r="R60" s="298"/>
      <c r="S60" s="298"/>
      <c r="T60" s="298"/>
      <c r="U60" s="298"/>
      <c r="V60" s="298"/>
      <c r="W60" s="298"/>
      <c r="X60" s="298"/>
      <c r="Y60" s="298"/>
      <c r="Z60" s="313"/>
      <c r="AA60" s="313"/>
      <c r="AB60" s="420"/>
      <c r="AC60" s="420"/>
      <c r="AD60" s="298"/>
      <c r="AE60" s="298"/>
      <c r="AF60" s="298"/>
      <c r="AG60" s="298"/>
      <c r="AH60" s="298"/>
      <c r="AI60" s="298"/>
      <c r="AJ60" s="425"/>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row>
    <row r="61" spans="1:64" s="299" customFormat="1" ht="27" customHeight="1">
      <c r="A61" s="941" t="s">
        <v>370</v>
      </c>
      <c r="B61" s="942"/>
      <c r="C61" s="942"/>
      <c r="D61" s="942"/>
      <c r="E61" s="942"/>
      <c r="F61" s="942"/>
      <c r="G61" s="942"/>
      <c r="H61" s="942"/>
      <c r="I61" s="943"/>
      <c r="J61" s="312" t="s">
        <v>363</v>
      </c>
      <c r="K61" s="971" t="e">
        <f>ROUNDUP(K60/K58,1)</f>
        <v>#DIV/0!</v>
      </c>
      <c r="L61" s="971"/>
      <c r="M61" s="971"/>
      <c r="N61" s="971"/>
      <c r="O61" s="421" t="s">
        <v>364</v>
      </c>
      <c r="P61" s="300" t="s">
        <v>5</v>
      </c>
      <c r="Q61" s="424" t="s">
        <v>404</v>
      </c>
      <c r="R61" s="425"/>
      <c r="S61" s="425"/>
      <c r="T61" s="425"/>
      <c r="U61" s="425"/>
      <c r="V61" s="425"/>
      <c r="W61" s="425"/>
      <c r="X61" s="425"/>
      <c r="Y61" s="425"/>
      <c r="Z61" s="328"/>
      <c r="AA61" s="329"/>
      <c r="AB61" s="329"/>
      <c r="AC61" s="329"/>
      <c r="AD61" s="329"/>
      <c r="AE61" s="328"/>
      <c r="AF61" s="425"/>
      <c r="AG61" s="425"/>
      <c r="AH61" s="425"/>
      <c r="AI61" s="425"/>
      <c r="AJ61" s="425"/>
      <c r="AK61" s="425"/>
      <c r="AL61" s="425"/>
      <c r="AM61" s="425"/>
      <c r="AN61" s="425"/>
      <c r="AO61" s="425"/>
      <c r="AP61" s="298"/>
      <c r="AQ61" s="298"/>
      <c r="AR61" s="298"/>
      <c r="AS61" s="298"/>
      <c r="AT61" s="298"/>
      <c r="AU61" s="298"/>
      <c r="AV61" s="298"/>
      <c r="AW61" s="298"/>
      <c r="AX61" s="298"/>
      <c r="AY61" s="298"/>
      <c r="AZ61" s="298"/>
      <c r="BA61" s="298"/>
      <c r="BB61" s="298"/>
      <c r="BC61" s="298"/>
      <c r="BD61" s="298"/>
      <c r="BE61" s="298"/>
      <c r="BF61" s="298"/>
    </row>
    <row r="62" spans="1:64" s="299" customFormat="1" ht="27.75" customHeight="1">
      <c r="A62" s="311" t="s">
        <v>372</v>
      </c>
      <c r="B62" s="423"/>
      <c r="C62" s="423"/>
      <c r="D62" s="423"/>
      <c r="E62" s="423"/>
      <c r="F62" s="423"/>
      <c r="G62" s="423"/>
      <c r="H62" s="423"/>
      <c r="I62" s="300"/>
      <c r="J62" s="312" t="s">
        <v>363</v>
      </c>
      <c r="K62" s="971" t="e">
        <f>ROUNDUP(AW52/K59,1)</f>
        <v>#DIV/0!</v>
      </c>
      <c r="L62" s="971"/>
      <c r="M62" s="971"/>
      <c r="N62" s="971"/>
      <c r="O62" s="421" t="s">
        <v>364</v>
      </c>
      <c r="P62" s="300" t="s">
        <v>5</v>
      </c>
      <c r="Q62" s="959" t="s">
        <v>405</v>
      </c>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420"/>
      <c r="AR62" s="420"/>
      <c r="AS62" s="420"/>
      <c r="AT62" s="420"/>
      <c r="AU62" s="420"/>
      <c r="AV62" s="420"/>
      <c r="AW62" s="420"/>
      <c r="AX62" s="420"/>
      <c r="AY62" s="420"/>
      <c r="AZ62" s="420"/>
      <c r="BA62" s="420"/>
      <c r="BB62" s="298"/>
      <c r="BC62" s="298"/>
      <c r="BD62" s="298"/>
      <c r="BE62" s="298"/>
    </row>
    <row r="63" spans="1:64" s="299" customFormat="1" ht="31.5" customHeight="1">
      <c r="A63" s="941" t="s">
        <v>374</v>
      </c>
      <c r="B63" s="912"/>
      <c r="C63" s="912"/>
      <c r="D63" s="912"/>
      <c r="E63" s="912"/>
      <c r="F63" s="912"/>
      <c r="G63" s="912"/>
      <c r="H63" s="912"/>
      <c r="I63" s="913"/>
      <c r="J63" s="312" t="s">
        <v>363</v>
      </c>
      <c r="K63" s="971" t="e">
        <f>ROUNDUP(AW53/K58,1)</f>
        <v>#DIV/0!</v>
      </c>
      <c r="L63" s="971"/>
      <c r="M63" s="971"/>
      <c r="N63" s="971"/>
      <c r="O63" s="421" t="s">
        <v>364</v>
      </c>
      <c r="P63" s="300" t="s">
        <v>5</v>
      </c>
      <c r="Q63" s="959" t="s">
        <v>406</v>
      </c>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420"/>
      <c r="AS63" s="420"/>
      <c r="AT63" s="420"/>
      <c r="AU63" s="420"/>
      <c r="AV63" s="420"/>
      <c r="AW63" s="420"/>
      <c r="AX63" s="420"/>
      <c r="AY63" s="420"/>
      <c r="AZ63" s="420"/>
      <c r="BA63" s="420"/>
      <c r="BB63" s="298"/>
      <c r="BC63" s="298"/>
      <c r="BD63" s="298"/>
      <c r="BE63" s="298"/>
    </row>
    <row r="64" spans="1:64" s="299" customFormat="1" ht="33" customHeight="1">
      <c r="A64" s="982" t="s">
        <v>407</v>
      </c>
      <c r="B64" s="983"/>
      <c r="C64" s="983"/>
      <c r="D64" s="983"/>
      <c r="E64" s="983"/>
      <c r="F64" s="983"/>
      <c r="G64" s="983"/>
      <c r="H64" s="983"/>
      <c r="I64" s="984"/>
      <c r="J64" s="312" t="s">
        <v>363</v>
      </c>
      <c r="K64" s="971" t="e">
        <f>K61/6</f>
        <v>#DIV/0!</v>
      </c>
      <c r="L64" s="971"/>
      <c r="M64" s="971"/>
      <c r="N64" s="971"/>
      <c r="O64" s="421" t="s">
        <v>364</v>
      </c>
      <c r="P64" s="300" t="s">
        <v>5</v>
      </c>
      <c r="Q64" s="959" t="s">
        <v>408</v>
      </c>
      <c r="R64" s="960"/>
      <c r="S64" s="960"/>
      <c r="T64" s="960"/>
      <c r="U64" s="960"/>
      <c r="V64" s="960"/>
      <c r="W64" s="960"/>
      <c r="X64" s="960"/>
      <c r="Y64" s="960"/>
      <c r="Z64" s="960"/>
      <c r="AA64" s="960"/>
      <c r="AB64" s="960"/>
      <c r="AC64" s="960"/>
      <c r="AD64" s="960"/>
      <c r="AE64" s="960"/>
      <c r="AF64" s="960"/>
      <c r="AG64" s="960"/>
      <c r="AH64" s="960"/>
      <c r="AI64" s="960"/>
      <c r="AJ64" s="960"/>
      <c r="AK64" s="420"/>
      <c r="AL64" s="420"/>
      <c r="AM64" s="420"/>
      <c r="AN64" s="420"/>
      <c r="AO64" s="420"/>
      <c r="AP64" s="420"/>
      <c r="AQ64" s="420"/>
      <c r="AR64" s="420"/>
      <c r="AS64" s="420"/>
      <c r="AT64" s="420"/>
      <c r="AU64" s="420"/>
      <c r="AV64" s="420"/>
      <c r="AW64" s="420"/>
      <c r="AX64" s="420"/>
      <c r="AY64" s="420"/>
      <c r="AZ64" s="420"/>
      <c r="BA64" s="420"/>
      <c r="BB64" s="298"/>
      <c r="BC64" s="298"/>
      <c r="BD64" s="298"/>
      <c r="BE64" s="298"/>
    </row>
    <row r="65" spans="1:57" s="299" customFormat="1" ht="30.75" customHeight="1">
      <c r="A65" s="979" t="s">
        <v>409</v>
      </c>
      <c r="B65" s="980"/>
      <c r="C65" s="980"/>
      <c r="D65" s="980"/>
      <c r="E65" s="980"/>
      <c r="F65" s="980"/>
      <c r="G65" s="980"/>
      <c r="H65" s="980"/>
      <c r="I65" s="981"/>
      <c r="J65" s="312" t="s">
        <v>363</v>
      </c>
      <c r="K65" s="971" t="e">
        <f>(K62/10)+(K63/6)</f>
        <v>#DIV/0!</v>
      </c>
      <c r="L65" s="971"/>
      <c r="M65" s="971"/>
      <c r="N65" s="971"/>
      <c r="O65" s="421" t="s">
        <v>364</v>
      </c>
      <c r="P65" s="300" t="s">
        <v>5</v>
      </c>
      <c r="Q65" s="959" t="s">
        <v>410</v>
      </c>
      <c r="R65" s="960"/>
      <c r="S65" s="960"/>
      <c r="T65" s="960"/>
      <c r="U65" s="960"/>
      <c r="V65" s="960"/>
      <c r="W65" s="960"/>
      <c r="X65" s="960"/>
      <c r="Y65" s="960"/>
      <c r="Z65" s="960"/>
      <c r="AA65" s="960"/>
      <c r="AB65" s="960"/>
      <c r="AC65" s="960"/>
      <c r="AD65" s="960"/>
      <c r="AE65" s="960"/>
      <c r="AF65" s="960"/>
      <c r="AG65" s="960"/>
      <c r="AH65" s="960"/>
      <c r="AI65" s="960"/>
      <c r="AJ65" s="960"/>
      <c r="AK65" s="420"/>
      <c r="AL65" s="420"/>
      <c r="AM65" s="420"/>
      <c r="AN65" s="420"/>
      <c r="AO65" s="420"/>
      <c r="AP65" s="420"/>
      <c r="AQ65" s="420"/>
      <c r="AR65" s="420"/>
      <c r="AS65" s="420"/>
      <c r="AT65" s="420"/>
      <c r="AU65" s="420"/>
      <c r="AV65" s="420"/>
      <c r="AW65" s="420"/>
      <c r="AX65" s="420"/>
      <c r="AY65" s="420"/>
      <c r="AZ65" s="420"/>
      <c r="BA65" s="420"/>
      <c r="BB65" s="298"/>
      <c r="BC65" s="298"/>
      <c r="BD65" s="298"/>
      <c r="BE65" s="298"/>
    </row>
    <row r="66" spans="1:57" s="299" customFormat="1" ht="46.5" customHeight="1">
      <c r="A66" s="979" t="s">
        <v>411</v>
      </c>
      <c r="B66" s="980"/>
      <c r="C66" s="980"/>
      <c r="D66" s="980"/>
      <c r="E66" s="980"/>
      <c r="F66" s="980"/>
      <c r="G66" s="980"/>
      <c r="H66" s="980"/>
      <c r="I66" s="981"/>
      <c r="J66" s="312" t="s">
        <v>363</v>
      </c>
      <c r="K66" s="971" t="str">
        <f>IF(M46="就労移行支援",K61/6,IF(OR(M46="認定就労移行支援",M46="就労継続支援Ａ型",M46="就労継続支援Ｂ型"),K61/10,""))</f>
        <v/>
      </c>
      <c r="L66" s="971"/>
      <c r="M66" s="971"/>
      <c r="N66" s="971"/>
      <c r="O66" s="421" t="s">
        <v>364</v>
      </c>
      <c r="P66" s="300" t="s">
        <v>5</v>
      </c>
      <c r="Q66" s="961" t="s">
        <v>412</v>
      </c>
      <c r="R66" s="962"/>
      <c r="S66" s="962"/>
      <c r="T66" s="962"/>
      <c r="U66" s="962"/>
      <c r="V66" s="962"/>
      <c r="W66" s="962"/>
      <c r="X66" s="962"/>
      <c r="Y66" s="962"/>
      <c r="Z66" s="962"/>
      <c r="AA66" s="962"/>
      <c r="AB66" s="962"/>
      <c r="AC66" s="962"/>
      <c r="AD66" s="962"/>
      <c r="AE66" s="962"/>
      <c r="AF66" s="962"/>
      <c r="AG66" s="962"/>
      <c r="AH66" s="962"/>
      <c r="AI66" s="962"/>
      <c r="AJ66" s="962"/>
      <c r="AK66" s="962"/>
      <c r="AL66" s="962"/>
      <c r="AM66" s="962"/>
      <c r="AN66" s="962"/>
      <c r="AO66" s="962"/>
      <c r="AP66" s="962"/>
      <c r="AQ66" s="962"/>
      <c r="AR66" s="962"/>
      <c r="AS66" s="962"/>
      <c r="AT66" s="962"/>
      <c r="AU66" s="962"/>
      <c r="AV66" s="962"/>
      <c r="AW66" s="962"/>
      <c r="AX66" s="962"/>
      <c r="AY66" s="962"/>
      <c r="AZ66" s="962"/>
      <c r="BA66" s="962"/>
      <c r="BB66" s="298"/>
      <c r="BC66" s="298"/>
      <c r="BD66" s="298"/>
      <c r="BE66" s="298"/>
    </row>
    <row r="67" spans="1:57" s="299" customFormat="1" ht="33" customHeight="1">
      <c r="A67" s="979" t="s">
        <v>413</v>
      </c>
      <c r="B67" s="980"/>
      <c r="C67" s="980"/>
      <c r="D67" s="980"/>
      <c r="E67" s="980"/>
      <c r="F67" s="980"/>
      <c r="G67" s="980"/>
      <c r="H67" s="980"/>
      <c r="I67" s="981"/>
      <c r="J67" s="312" t="s">
        <v>363</v>
      </c>
      <c r="K67" s="971" t="e">
        <f>K61/15</f>
        <v>#DIV/0!</v>
      </c>
      <c r="L67" s="971"/>
      <c r="M67" s="971"/>
      <c r="N67" s="971"/>
      <c r="O67" s="421" t="s">
        <v>364</v>
      </c>
      <c r="P67" s="300" t="s">
        <v>5</v>
      </c>
      <c r="Q67" s="961" t="s">
        <v>414</v>
      </c>
      <c r="R67" s="962"/>
      <c r="S67" s="962"/>
      <c r="T67" s="962"/>
      <c r="U67" s="962"/>
      <c r="V67" s="962"/>
      <c r="W67" s="962"/>
      <c r="X67" s="962"/>
      <c r="Y67" s="962"/>
      <c r="Z67" s="962"/>
      <c r="AA67" s="962"/>
      <c r="AB67" s="962"/>
      <c r="AC67" s="962"/>
      <c r="AD67" s="962"/>
      <c r="AE67" s="962"/>
      <c r="AF67" s="962"/>
      <c r="AG67" s="962"/>
      <c r="AH67" s="962"/>
      <c r="AI67" s="962"/>
      <c r="AJ67" s="962"/>
      <c r="AK67" s="962"/>
      <c r="AL67" s="962"/>
      <c r="AM67" s="962"/>
      <c r="AN67" s="962"/>
      <c r="AO67" s="962"/>
      <c r="AP67" s="962"/>
      <c r="AQ67" s="962"/>
      <c r="AR67" s="962"/>
      <c r="AS67" s="962"/>
      <c r="AT67" s="962"/>
      <c r="AU67" s="962"/>
      <c r="AV67" s="962"/>
      <c r="AW67" s="962"/>
      <c r="AX67" s="962"/>
      <c r="AY67" s="962"/>
      <c r="AZ67" s="962"/>
      <c r="BA67" s="962"/>
      <c r="BB67" s="298"/>
      <c r="BC67" s="298"/>
      <c r="BD67" s="298"/>
      <c r="BE67" s="298"/>
    </row>
    <row r="68" spans="1:57" s="299" customFormat="1" ht="45" customHeight="1">
      <c r="A68" s="941" t="s">
        <v>557</v>
      </c>
      <c r="B68" s="912"/>
      <c r="C68" s="912"/>
      <c r="D68" s="912"/>
      <c r="E68" s="912"/>
      <c r="F68" s="912"/>
      <c r="G68" s="912"/>
      <c r="H68" s="912"/>
      <c r="I68" s="913"/>
      <c r="J68" s="312" t="s">
        <v>363</v>
      </c>
      <c r="K68" s="971" t="e">
        <f>K61/6</f>
        <v>#DIV/0!</v>
      </c>
      <c r="L68" s="971"/>
      <c r="M68" s="971"/>
      <c r="N68" s="971"/>
      <c r="O68" s="421" t="s">
        <v>364</v>
      </c>
      <c r="P68" s="300" t="s">
        <v>5</v>
      </c>
      <c r="Q68" s="959" t="s">
        <v>558</v>
      </c>
      <c r="R68" s="960"/>
      <c r="S68" s="960"/>
      <c r="T68" s="960"/>
      <c r="U68" s="960"/>
      <c r="V68" s="960"/>
      <c r="W68" s="960"/>
      <c r="X68" s="960"/>
      <c r="Y68" s="960"/>
      <c r="Z68" s="960"/>
      <c r="AA68" s="960"/>
      <c r="AB68" s="960"/>
      <c r="AC68" s="974" t="s">
        <v>555</v>
      </c>
      <c r="AD68" s="974"/>
      <c r="AE68" s="974"/>
      <c r="AF68" s="974"/>
      <c r="AG68" s="974"/>
      <c r="AH68" s="974"/>
      <c r="AI68" s="974"/>
      <c r="AJ68" s="974"/>
      <c r="AK68" s="974"/>
      <c r="AL68" s="975" t="e">
        <f>K61/7.5</f>
        <v>#DIV/0!</v>
      </c>
      <c r="AM68" s="975"/>
      <c r="AN68" s="975"/>
      <c r="AO68" s="975"/>
      <c r="AP68" s="975"/>
      <c r="AQ68" s="975"/>
      <c r="AR68" s="975"/>
      <c r="AS68" s="959" t="s">
        <v>556</v>
      </c>
      <c r="AT68" s="960"/>
      <c r="AU68" s="960"/>
      <c r="AV68" s="960"/>
      <c r="AW68" s="960"/>
      <c r="AX68" s="960"/>
      <c r="AY68" s="960"/>
      <c r="AZ68" s="960"/>
      <c r="BA68" s="960"/>
      <c r="BB68" s="298"/>
      <c r="BC68" s="298"/>
      <c r="BD68" s="298"/>
      <c r="BE68" s="298"/>
    </row>
    <row r="69" spans="1:57" s="299" customFormat="1" ht="30" customHeight="1">
      <c r="A69" s="941" t="s">
        <v>384</v>
      </c>
      <c r="B69" s="912"/>
      <c r="C69" s="912"/>
      <c r="D69" s="912"/>
      <c r="E69" s="912"/>
      <c r="F69" s="912"/>
      <c r="G69" s="912"/>
      <c r="H69" s="912"/>
      <c r="I69" s="913"/>
      <c r="J69" s="312" t="s">
        <v>363</v>
      </c>
      <c r="K69" s="971">
        <f>AW54</f>
        <v>0</v>
      </c>
      <c r="L69" s="971"/>
      <c r="M69" s="971"/>
      <c r="N69" s="971"/>
      <c r="O69" s="421" t="s">
        <v>364</v>
      </c>
      <c r="P69" s="300" t="s">
        <v>5</v>
      </c>
      <c r="Q69" s="959" t="s">
        <v>415</v>
      </c>
      <c r="R69" s="960"/>
      <c r="S69" s="960"/>
      <c r="T69" s="960"/>
      <c r="U69" s="960"/>
      <c r="V69" s="960"/>
      <c r="W69" s="960"/>
      <c r="X69" s="960"/>
      <c r="Y69" s="960"/>
      <c r="Z69" s="960"/>
      <c r="AA69" s="960"/>
      <c r="AB69" s="319"/>
      <c r="AC69" s="974"/>
      <c r="AD69" s="974"/>
      <c r="AE69" s="974"/>
      <c r="AF69" s="974"/>
      <c r="AG69" s="974"/>
      <c r="AH69" s="974"/>
      <c r="AI69" s="974"/>
      <c r="AJ69" s="974"/>
      <c r="AK69" s="974"/>
      <c r="AL69" s="975"/>
      <c r="AM69" s="975"/>
      <c r="AN69" s="975"/>
      <c r="AO69" s="975"/>
      <c r="AP69" s="975"/>
      <c r="AQ69" s="975"/>
      <c r="AR69" s="975"/>
      <c r="AS69" s="959"/>
      <c r="AT69" s="960"/>
      <c r="AU69" s="960"/>
      <c r="AV69" s="960"/>
      <c r="AW69" s="960"/>
      <c r="AX69" s="960"/>
      <c r="AY69" s="960"/>
      <c r="AZ69" s="960"/>
      <c r="BA69" s="960"/>
      <c r="BB69" s="298"/>
      <c r="BC69" s="298"/>
      <c r="BD69" s="298"/>
      <c r="BE69" s="298"/>
    </row>
    <row r="70" spans="1:57" s="299" customFormat="1" ht="21" customHeight="1">
      <c r="A70" s="420" t="s">
        <v>416</v>
      </c>
      <c r="B70" s="420"/>
      <c r="C70" s="420"/>
      <c r="D70" s="420"/>
      <c r="E70" s="420"/>
      <c r="F70" s="420"/>
      <c r="G70" s="420"/>
      <c r="H70" s="420"/>
      <c r="I70" s="420"/>
      <c r="J70" s="314"/>
      <c r="K70" s="318"/>
      <c r="L70" s="318"/>
      <c r="M70" s="318"/>
      <c r="N70" s="318"/>
      <c r="O70" s="314"/>
      <c r="P70" s="298"/>
      <c r="Q70" s="420"/>
      <c r="R70" s="420"/>
      <c r="S70" s="420"/>
      <c r="T70" s="420"/>
      <c r="U70" s="420"/>
      <c r="V70" s="420"/>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298"/>
      <c r="BC70" s="298"/>
      <c r="BD70" s="298"/>
      <c r="BE70" s="298"/>
    </row>
    <row r="71" spans="1:57" s="299" customFormat="1" ht="21" customHeight="1">
      <c r="A71" s="420" t="s">
        <v>417</v>
      </c>
      <c r="B71" s="420"/>
      <c r="C71" s="420"/>
      <c r="D71" s="420"/>
      <c r="E71" s="420"/>
      <c r="F71" s="420"/>
      <c r="G71" s="420"/>
      <c r="H71" s="420"/>
      <c r="I71" s="420"/>
      <c r="J71" s="314"/>
      <c r="K71" s="318"/>
      <c r="L71" s="318"/>
      <c r="M71" s="318"/>
      <c r="N71" s="318"/>
      <c r="O71" s="314"/>
      <c r="P71" s="298"/>
      <c r="Q71" s="420"/>
      <c r="R71" s="420"/>
      <c r="S71" s="420"/>
      <c r="T71" s="420"/>
      <c r="U71" s="420"/>
      <c r="V71" s="420"/>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298"/>
      <c r="BC71" s="298"/>
      <c r="BD71" s="298"/>
      <c r="BE71" s="298"/>
    </row>
    <row r="72" spans="1:57" s="299" customFormat="1" ht="21" customHeight="1">
      <c r="A72" s="317" t="s">
        <v>387</v>
      </c>
      <c r="B72" s="420"/>
      <c r="C72" s="420"/>
      <c r="D72" s="420"/>
      <c r="E72" s="420"/>
      <c r="F72" s="420"/>
      <c r="G72" s="420"/>
      <c r="H72" s="420"/>
      <c r="I72" s="420"/>
      <c r="J72" s="314"/>
      <c r="K72" s="318"/>
      <c r="L72" s="318"/>
      <c r="M72" s="318"/>
      <c r="N72" s="318"/>
      <c r="O72" s="314"/>
      <c r="P72" s="298"/>
      <c r="Q72" s="420"/>
      <c r="R72" s="420"/>
      <c r="S72" s="420"/>
      <c r="T72" s="420"/>
      <c r="U72" s="420"/>
      <c r="V72" s="420"/>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298"/>
      <c r="BC72" s="298"/>
      <c r="BD72" s="298"/>
      <c r="BE72" s="298"/>
    </row>
    <row r="73" spans="1:57" s="299" customFormat="1" ht="32.25" customHeight="1">
      <c r="A73" s="964" t="s">
        <v>388</v>
      </c>
      <c r="B73" s="964"/>
      <c r="C73" s="964"/>
      <c r="D73" s="964"/>
      <c r="E73" s="964"/>
      <c r="F73" s="964"/>
      <c r="G73" s="964"/>
      <c r="H73" s="964"/>
      <c r="I73" s="964"/>
      <c r="J73" s="964"/>
      <c r="K73" s="964"/>
      <c r="L73" s="964"/>
      <c r="M73" s="964"/>
      <c r="N73" s="964"/>
      <c r="O73" s="964"/>
      <c r="P73" s="964"/>
      <c r="Q73" s="964"/>
      <c r="R73" s="964"/>
      <c r="S73" s="964"/>
      <c r="T73" s="964"/>
      <c r="U73" s="964"/>
      <c r="V73" s="964"/>
      <c r="W73" s="964"/>
      <c r="X73" s="964"/>
      <c r="Y73" s="964"/>
      <c r="Z73" s="964"/>
      <c r="AA73" s="964"/>
      <c r="AB73" s="964"/>
      <c r="AC73" s="964"/>
      <c r="AD73" s="964"/>
      <c r="AE73" s="964"/>
      <c r="AF73" s="964"/>
      <c r="AG73" s="964"/>
      <c r="AH73" s="964"/>
      <c r="AI73" s="964"/>
      <c r="AJ73" s="964"/>
      <c r="AK73" s="964"/>
      <c r="AL73" s="964"/>
      <c r="AM73" s="964"/>
      <c r="AN73" s="964"/>
      <c r="AO73" s="964"/>
      <c r="AP73" s="964"/>
      <c r="AQ73" s="964"/>
      <c r="AR73" s="964"/>
      <c r="AS73" s="964"/>
      <c r="AT73" s="964"/>
      <c r="AU73" s="964"/>
      <c r="AV73" s="964"/>
      <c r="AW73" s="964"/>
      <c r="AX73" s="964"/>
      <c r="AY73" s="964"/>
      <c r="AZ73" s="964"/>
      <c r="BA73" s="319"/>
      <c r="BB73" s="298"/>
      <c r="BC73" s="298"/>
      <c r="BD73" s="298"/>
      <c r="BE73" s="298"/>
    </row>
    <row r="74" spans="1:57" s="299" customFormat="1" ht="32.25" customHeight="1">
      <c r="A74" s="964" t="s">
        <v>389</v>
      </c>
      <c r="B74" s="964"/>
      <c r="C74" s="964"/>
      <c r="D74" s="964"/>
      <c r="E74" s="964"/>
      <c r="F74" s="964"/>
      <c r="G74" s="964"/>
      <c r="H74" s="964"/>
      <c r="I74" s="964"/>
      <c r="J74" s="964"/>
      <c r="K74" s="964"/>
      <c r="L74" s="964"/>
      <c r="M74" s="964"/>
      <c r="N74" s="964"/>
      <c r="O74" s="964"/>
      <c r="P74" s="964"/>
      <c r="Q74" s="964"/>
      <c r="R74" s="964"/>
      <c r="S74" s="964"/>
      <c r="T74" s="964"/>
      <c r="U74" s="964"/>
      <c r="V74" s="964"/>
      <c r="W74" s="964"/>
      <c r="X74" s="964"/>
      <c r="Y74" s="964"/>
      <c r="Z74" s="964"/>
      <c r="AA74" s="964"/>
      <c r="AB74" s="964"/>
      <c r="AC74" s="964"/>
      <c r="AD74" s="964"/>
      <c r="AE74" s="964"/>
      <c r="AF74" s="964"/>
      <c r="AG74" s="964"/>
      <c r="AH74" s="964"/>
      <c r="AI74" s="964"/>
      <c r="AJ74" s="964"/>
      <c r="AK74" s="964"/>
      <c r="AL74" s="964"/>
      <c r="AM74" s="964"/>
      <c r="AN74" s="964"/>
      <c r="AO74" s="964"/>
      <c r="AP74" s="964"/>
      <c r="AQ74" s="964"/>
      <c r="AR74" s="964"/>
      <c r="AS74" s="964"/>
      <c r="AT74" s="964"/>
      <c r="AU74" s="964"/>
      <c r="AV74" s="964"/>
      <c r="AW74" s="964"/>
      <c r="AX74" s="964"/>
      <c r="AY74" s="964"/>
      <c r="AZ74" s="964"/>
      <c r="BA74" s="420"/>
      <c r="BB74" s="298"/>
      <c r="BC74" s="298"/>
      <c r="BD74" s="298"/>
      <c r="BE74" s="298"/>
    </row>
    <row r="75" spans="1:57" s="299" customFormat="1" ht="31.5" customHeight="1">
      <c r="A75" s="965" t="s">
        <v>390</v>
      </c>
      <c r="B75" s="965"/>
      <c r="C75" s="965"/>
      <c r="D75" s="965"/>
      <c r="E75" s="965"/>
      <c r="F75" s="965"/>
      <c r="G75" s="965"/>
      <c r="H75" s="965"/>
      <c r="I75" s="965"/>
      <c r="J75" s="965"/>
      <c r="K75" s="965"/>
      <c r="L75" s="965"/>
      <c r="M75" s="965"/>
      <c r="N75" s="965"/>
      <c r="O75" s="965"/>
      <c r="P75" s="965"/>
      <c r="Q75" s="965"/>
      <c r="R75" s="965"/>
      <c r="S75" s="965"/>
      <c r="T75" s="965"/>
      <c r="U75" s="965"/>
      <c r="V75" s="965"/>
      <c r="W75" s="965"/>
      <c r="X75" s="965"/>
      <c r="Y75" s="965"/>
      <c r="Z75" s="965"/>
      <c r="AA75" s="965"/>
      <c r="AB75" s="965"/>
      <c r="AC75" s="965"/>
      <c r="AD75" s="965"/>
      <c r="AE75" s="965"/>
      <c r="AF75" s="965"/>
      <c r="AG75" s="965"/>
      <c r="AH75" s="965"/>
      <c r="AI75" s="965"/>
      <c r="AJ75" s="965"/>
      <c r="AK75" s="965"/>
      <c r="AL75" s="965"/>
      <c r="AM75" s="965"/>
      <c r="AN75" s="965"/>
      <c r="AO75" s="965"/>
      <c r="AP75" s="965"/>
      <c r="AQ75" s="965"/>
      <c r="AR75" s="965"/>
      <c r="AS75" s="965"/>
      <c r="AT75" s="965"/>
      <c r="AU75" s="965"/>
      <c r="AV75" s="965"/>
      <c r="AW75" s="965"/>
      <c r="AX75" s="965"/>
      <c r="AY75" s="965"/>
      <c r="AZ75" s="965"/>
      <c r="BA75" s="298"/>
      <c r="BB75" s="298"/>
      <c r="BC75" s="298"/>
      <c r="BD75" s="298"/>
      <c r="BE75" s="298"/>
    </row>
    <row r="76" spans="1:57" s="9" customFormat="1" ht="16.5" customHeight="1">
      <c r="A76" s="320" t="s">
        <v>391</v>
      </c>
      <c r="B76" s="32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row>
    <row r="77" spans="1:57" s="9" customFormat="1" ht="13.5" customHeight="1">
      <c r="A77" s="320"/>
      <c r="B77" s="321" t="s">
        <v>392</v>
      </c>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320"/>
      <c r="AM77" s="320"/>
      <c r="AN77" s="320"/>
      <c r="AO77" s="320"/>
      <c r="AP77" s="320"/>
      <c r="AQ77" s="320"/>
      <c r="AR77" s="320"/>
      <c r="AS77" s="320"/>
      <c r="AT77" s="320"/>
      <c r="AU77" s="320"/>
      <c r="AV77" s="320"/>
      <c r="AW77" s="320"/>
      <c r="AX77" s="320"/>
      <c r="AY77" s="320"/>
      <c r="AZ77" s="320"/>
      <c r="BA77" s="297"/>
      <c r="BB77" s="297"/>
      <c r="BC77" s="297"/>
      <c r="BD77" s="297"/>
      <c r="BE77" s="297"/>
    </row>
    <row r="78" spans="1:57" s="9" customFormat="1" ht="13.5" customHeight="1">
      <c r="A78" s="320"/>
      <c r="B78" s="321" t="s">
        <v>393</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297"/>
      <c r="BB78" s="297"/>
      <c r="BC78" s="297"/>
      <c r="BD78" s="297"/>
      <c r="BE78" s="297"/>
    </row>
    <row r="79" spans="1:57" s="9" customFormat="1" ht="13.5" customHeight="1">
      <c r="A79" s="321"/>
      <c r="B79" s="321" t="s">
        <v>394</v>
      </c>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1"/>
      <c r="AY79" s="321"/>
      <c r="AZ79" s="321"/>
      <c r="BA79" s="297"/>
      <c r="BB79" s="297"/>
      <c r="BC79" s="297"/>
      <c r="BD79" s="297"/>
      <c r="BE79" s="297"/>
    </row>
    <row r="80" spans="1:57" s="9" customFormat="1" ht="13.5" customHeight="1">
      <c r="A80" s="322"/>
      <c r="B80" s="321" t="s">
        <v>395</v>
      </c>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c r="AI80" s="323"/>
      <c r="AJ80" s="323"/>
      <c r="AK80" s="323"/>
      <c r="AL80" s="323"/>
      <c r="AM80" s="323"/>
      <c r="AN80" s="323"/>
      <c r="AO80" s="323"/>
      <c r="AP80" s="323"/>
      <c r="AQ80" s="323"/>
      <c r="AR80" s="323"/>
      <c r="AS80" s="323"/>
      <c r="AT80" s="323"/>
      <c r="AU80" s="323"/>
      <c r="AV80" s="323"/>
      <c r="AW80" s="323"/>
      <c r="AX80" s="323"/>
      <c r="AY80" s="323"/>
      <c r="AZ80" s="323"/>
      <c r="BA80" s="297"/>
      <c r="BB80" s="297"/>
      <c r="BC80" s="297"/>
      <c r="BD80" s="297"/>
      <c r="BE80" s="297"/>
    </row>
    <row r="81" spans="1:57" s="9" customFormat="1" ht="13.5" customHeight="1">
      <c r="A81" s="316"/>
      <c r="B81" s="321" t="s">
        <v>396</v>
      </c>
      <c r="C81" s="316"/>
      <c r="D81" s="316"/>
      <c r="E81" s="297"/>
      <c r="F81" s="297"/>
      <c r="G81" s="297"/>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row>
    <row r="82" spans="1:57" s="9" customFormat="1" ht="16.5" customHeight="1">
      <c r="A82" s="324" t="s">
        <v>397</v>
      </c>
      <c r="B82" s="321"/>
      <c r="C82" s="316"/>
      <c r="D82" s="316"/>
      <c r="E82" s="297"/>
      <c r="F82" s="297"/>
      <c r="G82" s="297"/>
      <c r="H82" s="297"/>
      <c r="I82" s="297"/>
      <c r="J82" s="297"/>
      <c r="K82" s="297"/>
      <c r="L82" s="297"/>
      <c r="M82" s="297"/>
      <c r="N82" s="297"/>
      <c r="O82" s="297"/>
      <c r="P82" s="297"/>
      <c r="Q82" s="297"/>
      <c r="R82" s="297"/>
      <c r="S82" s="297"/>
      <c r="T82" s="297"/>
      <c r="U82" s="297"/>
      <c r="V82" s="297"/>
      <c r="W82" s="297"/>
      <c r="X82" s="297"/>
      <c r="Y82" s="297"/>
      <c r="Z82" s="297"/>
      <c r="AA82" s="297"/>
      <c r="AB82" s="2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row>
    <row r="83" spans="1:57" s="9" customFormat="1" ht="21" customHeight="1">
      <c r="A83" s="316"/>
      <c r="B83" s="316"/>
      <c r="C83" s="316"/>
      <c r="D83" s="316"/>
      <c r="E83" s="297"/>
      <c r="F83" s="297"/>
      <c r="G83" s="297"/>
      <c r="H83" s="297"/>
      <c r="I83" s="297"/>
      <c r="J83" s="297"/>
      <c r="K83" s="297"/>
      <c r="L83" s="297"/>
      <c r="M83" s="297"/>
      <c r="N83" s="297"/>
      <c r="O83" s="297"/>
      <c r="P83" s="297"/>
      <c r="Q83" s="297"/>
      <c r="R83" s="297"/>
      <c r="S83" s="297"/>
      <c r="T83" s="297"/>
      <c r="U83" s="297"/>
      <c r="V83" s="297"/>
      <c r="W83" s="297"/>
      <c r="X83" s="297"/>
      <c r="Y83" s="297"/>
      <c r="Z83" s="297"/>
      <c r="AA83" s="297"/>
      <c r="AB83" s="29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row>
  </sheetData>
  <mergeCells count="333">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58:N58"/>
    <mergeCell ref="A59:I59"/>
    <mergeCell ref="K59:N59"/>
    <mergeCell ref="K60:N60"/>
    <mergeCell ref="A61:I61"/>
    <mergeCell ref="K61:N61"/>
    <mergeCell ref="AH56:AI56"/>
    <mergeCell ref="AK56:AL56"/>
    <mergeCell ref="AN56:AO56"/>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P51:Q51"/>
    <mergeCell ref="S51:T51"/>
    <mergeCell ref="V51:W51"/>
    <mergeCell ref="Y51:Z51"/>
    <mergeCell ref="AH50:AI50"/>
    <mergeCell ref="AK50:AL50"/>
    <mergeCell ref="AN50:AO50"/>
    <mergeCell ref="AQ50:AR50"/>
    <mergeCell ref="AT50:AU50"/>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18:I18"/>
    <mergeCell ref="K18:N18"/>
    <mergeCell ref="K19:N19"/>
    <mergeCell ref="A20:I20"/>
    <mergeCell ref="K20:N20"/>
    <mergeCell ref="A21:I22"/>
    <mergeCell ref="J21:J22"/>
    <mergeCell ref="K21:N22"/>
    <mergeCell ref="AT13:AU13"/>
    <mergeCell ref="O21:O22"/>
    <mergeCell ref="P21:P22"/>
    <mergeCell ref="Q21:AJ22"/>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P11:Q11"/>
    <mergeCell ref="S11:T11"/>
    <mergeCell ref="V11:W11"/>
    <mergeCell ref="Y11:Z11"/>
    <mergeCell ref="AH10:AI10"/>
    <mergeCell ref="AK10:AL10"/>
    <mergeCell ref="AN10:AO10"/>
    <mergeCell ref="AQ10:AR10"/>
    <mergeCell ref="AT10:AU10"/>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P7:Q7"/>
    <mergeCell ref="S7:T7"/>
    <mergeCell ref="V7:W7"/>
    <mergeCell ref="Y7:Z7"/>
    <mergeCell ref="AH6:AJ6"/>
    <mergeCell ref="AK6:AM6"/>
    <mergeCell ref="AN6:AP6"/>
    <mergeCell ref="AQ6:AS6"/>
    <mergeCell ref="AT6:AV6"/>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zoomScale="90" zoomScaleNormal="100" zoomScaleSheetLayoutView="90" workbookViewId="0">
      <selection activeCell="AB7" sqref="AB7"/>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282" customWidth="1"/>
    <col min="15" max="21" width="4.125" style="90" customWidth="1"/>
    <col min="22" max="24" width="8.625" style="90" customWidth="1"/>
    <col min="25" max="25" width="4.125" style="90" customWidth="1"/>
    <col min="26" max="28" width="8.625" style="90" customWidth="1"/>
    <col min="29" max="29" width="7.375" style="90" customWidth="1"/>
    <col min="30" max="30" width="2" style="11" hidden="1" customWidth="1"/>
    <col min="31" max="31" width="0.875" style="11" customWidth="1"/>
    <col min="32" max="16384" width="9" style="11"/>
  </cols>
  <sheetData>
    <row r="1" spans="2:30" ht="9.9499999999999993" customHeight="1" thickBot="1">
      <c r="C1" s="5"/>
      <c r="D1" s="89"/>
      <c r="E1" s="89"/>
      <c r="F1" s="89"/>
      <c r="G1" s="89"/>
      <c r="H1" s="89"/>
      <c r="I1" s="89"/>
      <c r="J1" s="89"/>
      <c r="K1" s="89"/>
      <c r="L1" s="89"/>
      <c r="M1" s="89"/>
      <c r="N1" s="278"/>
      <c r="O1" s="89"/>
      <c r="P1" s="89"/>
      <c r="Q1" s="89"/>
      <c r="R1" s="89"/>
      <c r="S1" s="89"/>
      <c r="T1" s="89"/>
      <c r="U1" s="89"/>
      <c r="V1" s="89"/>
      <c r="W1" s="89"/>
      <c r="X1" s="89"/>
      <c r="Y1" s="89"/>
    </row>
    <row r="2" spans="2:30" ht="19.5" customHeight="1">
      <c r="B2" s="3" t="s">
        <v>314</v>
      </c>
      <c r="C2" s="89"/>
      <c r="D2" s="89"/>
      <c r="E2" s="89"/>
      <c r="F2" s="89"/>
      <c r="G2" s="89"/>
      <c r="H2" s="412" t="s">
        <v>532</v>
      </c>
      <c r="I2" s="412"/>
      <c r="J2" s="89"/>
      <c r="K2" s="89"/>
      <c r="L2" s="89"/>
      <c r="M2" s="89"/>
      <c r="N2" s="278"/>
      <c r="O2" s="89"/>
      <c r="P2" s="89"/>
      <c r="Q2" s="89"/>
      <c r="R2" s="89"/>
      <c r="S2" s="89"/>
      <c r="T2" s="89"/>
      <c r="U2" s="89"/>
      <c r="V2" s="366"/>
      <c r="W2" s="990" t="s">
        <v>472</v>
      </c>
      <c r="X2" s="991"/>
      <c r="Y2" s="89"/>
    </row>
    <row r="3" spans="2:30" s="4" customFormat="1" ht="20.100000000000001" customHeight="1">
      <c r="B3" s="992" t="s">
        <v>26</v>
      </c>
      <c r="C3" s="993" t="s">
        <v>8</v>
      </c>
      <c r="D3" s="993" t="s">
        <v>13</v>
      </c>
      <c r="E3" s="993" t="s">
        <v>14</v>
      </c>
      <c r="F3" s="988" t="s">
        <v>533</v>
      </c>
      <c r="G3" s="988" t="s">
        <v>15</v>
      </c>
      <c r="H3" s="988" t="s">
        <v>16</v>
      </c>
      <c r="I3" s="988" t="s">
        <v>559</v>
      </c>
      <c r="J3" s="988" t="s">
        <v>190</v>
      </c>
      <c r="K3" s="988" t="s">
        <v>334</v>
      </c>
      <c r="L3" s="988" t="s">
        <v>335</v>
      </c>
      <c r="M3" s="988" t="s">
        <v>336</v>
      </c>
      <c r="N3" s="988" t="s">
        <v>24</v>
      </c>
      <c r="O3" s="995" t="s">
        <v>309</v>
      </c>
      <c r="P3" s="995"/>
      <c r="Q3" s="995"/>
      <c r="R3" s="995"/>
      <c r="S3" s="995"/>
      <c r="T3" s="995"/>
      <c r="U3" s="995"/>
      <c r="V3" s="985" t="s">
        <v>312</v>
      </c>
      <c r="W3" s="986"/>
      <c r="X3" s="986"/>
      <c r="Y3" s="986"/>
      <c r="Z3" s="986"/>
      <c r="AA3" s="986"/>
      <c r="AB3" s="986"/>
      <c r="AC3" s="987"/>
    </row>
    <row r="4" spans="2:30" s="4" customFormat="1" ht="54" customHeight="1">
      <c r="B4" s="992"/>
      <c r="C4" s="994"/>
      <c r="D4" s="994"/>
      <c r="E4" s="994"/>
      <c r="F4" s="989"/>
      <c r="G4" s="989"/>
      <c r="H4" s="989"/>
      <c r="I4" s="989"/>
      <c r="J4" s="989"/>
      <c r="K4" s="989"/>
      <c r="L4" s="989"/>
      <c r="M4" s="989"/>
      <c r="N4" s="989"/>
      <c r="O4" s="367" t="s">
        <v>310</v>
      </c>
      <c r="P4" s="367" t="s">
        <v>311</v>
      </c>
      <c r="Q4" s="367" t="s">
        <v>28</v>
      </c>
      <c r="R4" s="367" t="s">
        <v>29</v>
      </c>
      <c r="S4" s="367" t="s">
        <v>30</v>
      </c>
      <c r="T4" s="367" t="s">
        <v>31</v>
      </c>
      <c r="U4" s="367" t="s">
        <v>32</v>
      </c>
      <c r="V4" s="414" t="s">
        <v>158</v>
      </c>
      <c r="W4" s="414" t="s">
        <v>313</v>
      </c>
      <c r="X4" s="414" t="s">
        <v>552</v>
      </c>
      <c r="Y4" s="413" t="s">
        <v>534</v>
      </c>
      <c r="Z4" s="414" t="s">
        <v>159</v>
      </c>
      <c r="AA4" s="414" t="s">
        <v>545</v>
      </c>
      <c r="AB4" s="414" t="s">
        <v>547</v>
      </c>
      <c r="AC4" s="414" t="s">
        <v>548</v>
      </c>
    </row>
    <row r="5" spans="2:30" ht="23.1" customHeight="1">
      <c r="B5" s="72" t="s">
        <v>7</v>
      </c>
      <c r="C5" s="275" t="s">
        <v>25</v>
      </c>
      <c r="D5" s="91" t="s">
        <v>17</v>
      </c>
      <c r="E5" s="91">
        <v>44</v>
      </c>
      <c r="F5" s="91" t="s">
        <v>535</v>
      </c>
      <c r="G5" s="91" t="s">
        <v>18</v>
      </c>
      <c r="H5" s="91">
        <v>3</v>
      </c>
      <c r="I5" s="91" t="s">
        <v>19</v>
      </c>
      <c r="J5" s="91" t="s">
        <v>202</v>
      </c>
      <c r="K5" s="91" t="s">
        <v>202</v>
      </c>
      <c r="L5" s="91" t="s">
        <v>19</v>
      </c>
      <c r="M5" s="91" t="s">
        <v>202</v>
      </c>
      <c r="N5" s="279" t="s">
        <v>21</v>
      </c>
      <c r="O5" s="91" t="s">
        <v>19</v>
      </c>
      <c r="P5" s="91" t="s">
        <v>19</v>
      </c>
      <c r="Q5" s="91" t="s">
        <v>19</v>
      </c>
      <c r="R5" s="91" t="s">
        <v>19</v>
      </c>
      <c r="S5" s="91" t="s">
        <v>19</v>
      </c>
      <c r="T5" s="91" t="s">
        <v>202</v>
      </c>
      <c r="U5" s="91" t="s">
        <v>202</v>
      </c>
      <c r="V5" s="104">
        <v>45383</v>
      </c>
      <c r="W5" s="104">
        <v>45392</v>
      </c>
      <c r="X5" s="104">
        <v>45393</v>
      </c>
      <c r="Y5" s="91" t="s">
        <v>19</v>
      </c>
      <c r="Z5" s="104">
        <v>45394</v>
      </c>
      <c r="AA5" s="104">
        <v>45395</v>
      </c>
      <c r="AB5" s="104">
        <v>45578</v>
      </c>
      <c r="AC5" s="91" t="s">
        <v>19</v>
      </c>
      <c r="AD5" s="11" t="s">
        <v>20</v>
      </c>
    </row>
    <row r="6" spans="2:30" ht="23.1" customHeight="1">
      <c r="B6" s="10">
        <v>1</v>
      </c>
      <c r="C6" s="273"/>
      <c r="D6" s="92"/>
      <c r="E6" s="93"/>
      <c r="F6" s="91"/>
      <c r="G6" s="92"/>
      <c r="H6" s="93"/>
      <c r="I6" s="93"/>
      <c r="J6" s="92"/>
      <c r="K6" s="92"/>
      <c r="L6" s="92"/>
      <c r="M6" s="92"/>
      <c r="N6" s="280"/>
      <c r="O6" s="92"/>
      <c r="P6" s="92"/>
      <c r="Q6" s="92"/>
      <c r="R6" s="92"/>
      <c r="S6" s="92"/>
      <c r="T6" s="92"/>
      <c r="U6" s="92"/>
      <c r="V6" s="276"/>
      <c r="W6" s="276"/>
      <c r="X6" s="276"/>
      <c r="Y6" s="93"/>
      <c r="Z6" s="276"/>
      <c r="AA6" s="276"/>
      <c r="AB6" s="276"/>
      <c r="AC6" s="418"/>
      <c r="AD6" s="11" t="s">
        <v>21</v>
      </c>
    </row>
    <row r="7" spans="2:30" ht="23.1" customHeight="1">
      <c r="B7" s="10">
        <f>B6+1</f>
        <v>2</v>
      </c>
      <c r="C7" s="273"/>
      <c r="D7" s="92"/>
      <c r="E7" s="93"/>
      <c r="F7" s="91"/>
      <c r="G7" s="92"/>
      <c r="H7" s="93"/>
      <c r="I7" s="93"/>
      <c r="J7" s="92"/>
      <c r="K7" s="92"/>
      <c r="L7" s="92"/>
      <c r="M7" s="92"/>
      <c r="N7" s="280"/>
      <c r="O7" s="92"/>
      <c r="P7" s="92"/>
      <c r="Q7" s="92"/>
      <c r="R7" s="92"/>
      <c r="S7" s="92"/>
      <c r="T7" s="92"/>
      <c r="U7" s="92"/>
      <c r="V7" s="276"/>
      <c r="W7" s="276"/>
      <c r="X7" s="276"/>
      <c r="Y7" s="93"/>
      <c r="Z7" s="276"/>
      <c r="AA7" s="276"/>
      <c r="AB7" s="276"/>
      <c r="AC7" s="418"/>
      <c r="AD7" s="11" t="s">
        <v>22</v>
      </c>
    </row>
    <row r="8" spans="2:30" ht="23.1" customHeight="1">
      <c r="B8" s="10">
        <f t="shared" ref="B8:B71" si="0">B7+1</f>
        <v>3</v>
      </c>
      <c r="C8" s="273"/>
      <c r="D8" s="92"/>
      <c r="E8" s="93"/>
      <c r="F8" s="91"/>
      <c r="G8" s="92"/>
      <c r="H8" s="93"/>
      <c r="I8" s="93"/>
      <c r="J8" s="92"/>
      <c r="K8" s="92"/>
      <c r="L8" s="92"/>
      <c r="M8" s="92"/>
      <c r="N8" s="280"/>
      <c r="O8" s="92"/>
      <c r="P8" s="92"/>
      <c r="Q8" s="92"/>
      <c r="R8" s="92"/>
      <c r="S8" s="92"/>
      <c r="T8" s="92"/>
      <c r="U8" s="92"/>
      <c r="V8" s="276"/>
      <c r="W8" s="276"/>
      <c r="X8" s="276"/>
      <c r="Y8" s="93"/>
      <c r="Z8" s="276"/>
      <c r="AA8" s="276"/>
      <c r="AB8" s="276"/>
      <c r="AC8" s="418"/>
      <c r="AD8" s="11" t="s">
        <v>23</v>
      </c>
    </row>
    <row r="9" spans="2:30" ht="23.1" customHeight="1">
      <c r="B9" s="10">
        <f t="shared" si="0"/>
        <v>4</v>
      </c>
      <c r="C9" s="273"/>
      <c r="D9" s="92"/>
      <c r="E9" s="93"/>
      <c r="F9" s="91"/>
      <c r="G9" s="92"/>
      <c r="H9" s="93"/>
      <c r="I9" s="93"/>
      <c r="J9" s="92"/>
      <c r="K9" s="92"/>
      <c r="L9" s="92"/>
      <c r="M9" s="92"/>
      <c r="N9" s="280"/>
      <c r="O9" s="92"/>
      <c r="P9" s="92"/>
      <c r="Q9" s="92"/>
      <c r="R9" s="92"/>
      <c r="S9" s="92"/>
      <c r="T9" s="92"/>
      <c r="U9" s="92"/>
      <c r="V9" s="276"/>
      <c r="W9" s="276"/>
      <c r="X9" s="276"/>
      <c r="Y9" s="93"/>
      <c r="Z9" s="276"/>
      <c r="AA9" s="276"/>
      <c r="AB9" s="276"/>
      <c r="AC9" s="418"/>
    </row>
    <row r="10" spans="2:30" ht="23.1" customHeight="1">
      <c r="B10" s="10">
        <f t="shared" si="0"/>
        <v>5</v>
      </c>
      <c r="C10" s="273"/>
      <c r="D10" s="92"/>
      <c r="E10" s="93"/>
      <c r="F10" s="91"/>
      <c r="G10" s="92"/>
      <c r="H10" s="93"/>
      <c r="I10" s="93"/>
      <c r="J10" s="92"/>
      <c r="K10" s="92"/>
      <c r="L10" s="92"/>
      <c r="M10" s="92"/>
      <c r="N10" s="280"/>
      <c r="O10" s="92"/>
      <c r="P10" s="92"/>
      <c r="Q10" s="92"/>
      <c r="R10" s="92"/>
      <c r="S10" s="92"/>
      <c r="T10" s="92"/>
      <c r="U10" s="92"/>
      <c r="V10" s="276"/>
      <c r="W10" s="276"/>
      <c r="X10" s="276"/>
      <c r="Y10" s="93"/>
      <c r="Z10" s="276"/>
      <c r="AA10" s="276"/>
      <c r="AB10" s="276"/>
      <c r="AC10" s="418"/>
    </row>
    <row r="11" spans="2:30" ht="23.1" customHeight="1">
      <c r="B11" s="10">
        <f t="shared" si="0"/>
        <v>6</v>
      </c>
      <c r="C11" s="273"/>
      <c r="D11" s="92"/>
      <c r="E11" s="93"/>
      <c r="F11" s="91"/>
      <c r="G11" s="92"/>
      <c r="H11" s="93"/>
      <c r="I11" s="93"/>
      <c r="J11" s="92"/>
      <c r="K11" s="92"/>
      <c r="L11" s="92"/>
      <c r="M11" s="92"/>
      <c r="N11" s="280"/>
      <c r="O11" s="92"/>
      <c r="P11" s="92"/>
      <c r="Q11" s="92"/>
      <c r="R11" s="92"/>
      <c r="S11" s="92"/>
      <c r="T11" s="92"/>
      <c r="U11" s="92"/>
      <c r="V11" s="276"/>
      <c r="W11" s="276"/>
      <c r="X11" s="276"/>
      <c r="Y11" s="93"/>
      <c r="Z11" s="276"/>
      <c r="AA11" s="276"/>
      <c r="AB11" s="276"/>
      <c r="AC11" s="418"/>
    </row>
    <row r="12" spans="2:30" ht="23.1" customHeight="1">
      <c r="B12" s="10">
        <f t="shared" si="0"/>
        <v>7</v>
      </c>
      <c r="C12" s="273"/>
      <c r="D12" s="92"/>
      <c r="E12" s="93"/>
      <c r="F12" s="91"/>
      <c r="G12" s="92"/>
      <c r="H12" s="93"/>
      <c r="I12" s="93"/>
      <c r="J12" s="92"/>
      <c r="K12" s="92"/>
      <c r="L12" s="92"/>
      <c r="M12" s="92"/>
      <c r="N12" s="280"/>
      <c r="O12" s="92"/>
      <c r="P12" s="92"/>
      <c r="Q12" s="92"/>
      <c r="R12" s="92"/>
      <c r="S12" s="92"/>
      <c r="T12" s="92"/>
      <c r="U12" s="92"/>
      <c r="V12" s="276"/>
      <c r="W12" s="276"/>
      <c r="X12" s="276"/>
      <c r="Y12" s="93"/>
      <c r="Z12" s="276"/>
      <c r="AA12" s="276"/>
      <c r="AB12" s="276"/>
      <c r="AC12" s="418"/>
    </row>
    <row r="13" spans="2:30" ht="23.1" customHeight="1">
      <c r="B13" s="10">
        <f t="shared" si="0"/>
        <v>8</v>
      </c>
      <c r="C13" s="273"/>
      <c r="D13" s="92"/>
      <c r="E13" s="93"/>
      <c r="F13" s="91"/>
      <c r="G13" s="92"/>
      <c r="H13" s="93"/>
      <c r="I13" s="93"/>
      <c r="J13" s="92"/>
      <c r="K13" s="92"/>
      <c r="L13" s="92"/>
      <c r="M13" s="92"/>
      <c r="N13" s="280"/>
      <c r="O13" s="92"/>
      <c r="P13" s="92"/>
      <c r="Q13" s="92"/>
      <c r="R13" s="92"/>
      <c r="S13" s="92"/>
      <c r="T13" s="92"/>
      <c r="U13" s="92"/>
      <c r="V13" s="276"/>
      <c r="W13" s="276"/>
      <c r="X13" s="276"/>
      <c r="Y13" s="93"/>
      <c r="Z13" s="276"/>
      <c r="AA13" s="276"/>
      <c r="AB13" s="276"/>
      <c r="AC13" s="418"/>
    </row>
    <row r="14" spans="2:30" ht="23.1" customHeight="1">
      <c r="B14" s="10">
        <f t="shared" si="0"/>
        <v>9</v>
      </c>
      <c r="C14" s="273"/>
      <c r="D14" s="92"/>
      <c r="E14" s="93"/>
      <c r="F14" s="91"/>
      <c r="G14" s="92"/>
      <c r="H14" s="93"/>
      <c r="I14" s="93"/>
      <c r="J14" s="92"/>
      <c r="K14" s="92"/>
      <c r="L14" s="92"/>
      <c r="M14" s="92"/>
      <c r="N14" s="280"/>
      <c r="O14" s="92"/>
      <c r="P14" s="92"/>
      <c r="Q14" s="92"/>
      <c r="R14" s="92"/>
      <c r="S14" s="92"/>
      <c r="T14" s="92"/>
      <c r="U14" s="92"/>
      <c r="V14" s="276"/>
      <c r="W14" s="276"/>
      <c r="X14" s="276"/>
      <c r="Y14" s="93"/>
      <c r="Z14" s="276"/>
      <c r="AA14" s="276"/>
      <c r="AB14" s="276"/>
      <c r="AC14" s="418"/>
    </row>
    <row r="15" spans="2:30" ht="23.1" customHeight="1">
      <c r="B15" s="10">
        <f t="shared" si="0"/>
        <v>10</v>
      </c>
      <c r="C15" s="273"/>
      <c r="D15" s="92"/>
      <c r="E15" s="93"/>
      <c r="F15" s="91"/>
      <c r="G15" s="92"/>
      <c r="H15" s="93"/>
      <c r="I15" s="93"/>
      <c r="J15" s="92"/>
      <c r="K15" s="92"/>
      <c r="L15" s="92"/>
      <c r="M15" s="92"/>
      <c r="N15" s="280"/>
      <c r="O15" s="92"/>
      <c r="P15" s="92"/>
      <c r="Q15" s="92"/>
      <c r="R15" s="92"/>
      <c r="S15" s="92"/>
      <c r="T15" s="92"/>
      <c r="U15" s="92"/>
      <c r="V15" s="276"/>
      <c r="W15" s="276"/>
      <c r="X15" s="276"/>
      <c r="Y15" s="93"/>
      <c r="Z15" s="276"/>
      <c r="AA15" s="276"/>
      <c r="AB15" s="276"/>
      <c r="AC15" s="418"/>
    </row>
    <row r="16" spans="2:30" ht="23.1" customHeight="1">
      <c r="B16" s="10">
        <f t="shared" si="0"/>
        <v>11</v>
      </c>
      <c r="C16" s="273"/>
      <c r="D16" s="92"/>
      <c r="E16" s="93"/>
      <c r="F16" s="91"/>
      <c r="G16" s="92"/>
      <c r="H16" s="93"/>
      <c r="I16" s="93"/>
      <c r="J16" s="92"/>
      <c r="K16" s="92"/>
      <c r="L16" s="92"/>
      <c r="M16" s="92"/>
      <c r="N16" s="280"/>
      <c r="O16" s="92"/>
      <c r="P16" s="92"/>
      <c r="Q16" s="92"/>
      <c r="R16" s="92"/>
      <c r="S16" s="92"/>
      <c r="T16" s="92"/>
      <c r="U16" s="92"/>
      <c r="V16" s="276"/>
      <c r="W16" s="276"/>
      <c r="X16" s="276"/>
      <c r="Y16" s="93"/>
      <c r="Z16" s="276"/>
      <c r="AA16" s="276"/>
      <c r="AB16" s="276"/>
      <c r="AC16" s="418"/>
    </row>
    <row r="17" spans="2:29" ht="23.1" customHeight="1">
      <c r="B17" s="10">
        <f t="shared" si="0"/>
        <v>12</v>
      </c>
      <c r="C17" s="273"/>
      <c r="D17" s="92"/>
      <c r="E17" s="93"/>
      <c r="F17" s="91"/>
      <c r="G17" s="92"/>
      <c r="H17" s="93"/>
      <c r="I17" s="93"/>
      <c r="J17" s="92"/>
      <c r="K17" s="92"/>
      <c r="L17" s="92"/>
      <c r="M17" s="92"/>
      <c r="N17" s="280"/>
      <c r="O17" s="92"/>
      <c r="P17" s="92"/>
      <c r="Q17" s="92"/>
      <c r="R17" s="92"/>
      <c r="S17" s="92"/>
      <c r="T17" s="92"/>
      <c r="U17" s="92"/>
      <c r="V17" s="276"/>
      <c r="W17" s="276"/>
      <c r="X17" s="276"/>
      <c r="Y17" s="93"/>
      <c r="Z17" s="276"/>
      <c r="AA17" s="276"/>
      <c r="AB17" s="276"/>
      <c r="AC17" s="418"/>
    </row>
    <row r="18" spans="2:29" ht="23.1" customHeight="1">
      <c r="B18" s="10">
        <f t="shared" si="0"/>
        <v>13</v>
      </c>
      <c r="C18" s="273"/>
      <c r="D18" s="92"/>
      <c r="E18" s="93"/>
      <c r="F18" s="91"/>
      <c r="G18" s="92"/>
      <c r="H18" s="93"/>
      <c r="I18" s="93"/>
      <c r="J18" s="92"/>
      <c r="K18" s="92"/>
      <c r="L18" s="92"/>
      <c r="M18" s="92"/>
      <c r="N18" s="280"/>
      <c r="O18" s="92"/>
      <c r="P18" s="92"/>
      <c r="Q18" s="92"/>
      <c r="R18" s="92"/>
      <c r="S18" s="92"/>
      <c r="T18" s="92"/>
      <c r="U18" s="92"/>
      <c r="V18" s="276"/>
      <c r="W18" s="276"/>
      <c r="X18" s="276"/>
      <c r="Y18" s="93"/>
      <c r="Z18" s="276"/>
      <c r="AA18" s="276"/>
      <c r="AB18" s="276"/>
      <c r="AC18" s="418"/>
    </row>
    <row r="19" spans="2:29" ht="23.1" customHeight="1">
      <c r="B19" s="10">
        <f t="shared" si="0"/>
        <v>14</v>
      </c>
      <c r="C19" s="273"/>
      <c r="D19" s="92"/>
      <c r="E19" s="93"/>
      <c r="F19" s="91"/>
      <c r="G19" s="92"/>
      <c r="H19" s="93"/>
      <c r="I19" s="93"/>
      <c r="J19" s="92"/>
      <c r="K19" s="92"/>
      <c r="L19" s="92"/>
      <c r="M19" s="92"/>
      <c r="N19" s="280"/>
      <c r="O19" s="92"/>
      <c r="P19" s="92"/>
      <c r="Q19" s="92"/>
      <c r="R19" s="92"/>
      <c r="S19" s="92"/>
      <c r="T19" s="92"/>
      <c r="U19" s="92"/>
      <c r="V19" s="276"/>
      <c r="W19" s="276"/>
      <c r="X19" s="276"/>
      <c r="Y19" s="93"/>
      <c r="Z19" s="276"/>
      <c r="AA19" s="276"/>
      <c r="AB19" s="276"/>
      <c r="AC19" s="418"/>
    </row>
    <row r="20" spans="2:29" ht="23.1" customHeight="1">
      <c r="B20" s="10">
        <f t="shared" si="0"/>
        <v>15</v>
      </c>
      <c r="C20" s="273"/>
      <c r="D20" s="92"/>
      <c r="E20" s="93"/>
      <c r="F20" s="91"/>
      <c r="G20" s="92"/>
      <c r="H20" s="93"/>
      <c r="I20" s="93"/>
      <c r="J20" s="92"/>
      <c r="K20" s="92"/>
      <c r="L20" s="92"/>
      <c r="M20" s="92"/>
      <c r="N20" s="280"/>
      <c r="O20" s="92"/>
      <c r="P20" s="92"/>
      <c r="Q20" s="92"/>
      <c r="R20" s="92"/>
      <c r="S20" s="92"/>
      <c r="T20" s="92"/>
      <c r="U20" s="92"/>
      <c r="V20" s="276"/>
      <c r="W20" s="276"/>
      <c r="X20" s="276"/>
      <c r="Y20" s="93"/>
      <c r="Z20" s="276"/>
      <c r="AA20" s="276"/>
      <c r="AB20" s="276"/>
      <c r="AC20" s="418"/>
    </row>
    <row r="21" spans="2:29" ht="23.1" customHeight="1">
      <c r="B21" s="10">
        <f t="shared" si="0"/>
        <v>16</v>
      </c>
      <c r="C21" s="273"/>
      <c r="D21" s="92"/>
      <c r="E21" s="93"/>
      <c r="F21" s="91"/>
      <c r="G21" s="92"/>
      <c r="H21" s="93"/>
      <c r="I21" s="93"/>
      <c r="J21" s="92"/>
      <c r="K21" s="92"/>
      <c r="L21" s="92"/>
      <c r="M21" s="92"/>
      <c r="N21" s="280"/>
      <c r="O21" s="92"/>
      <c r="P21" s="92"/>
      <c r="Q21" s="92"/>
      <c r="R21" s="92"/>
      <c r="S21" s="92"/>
      <c r="T21" s="92"/>
      <c r="U21" s="92"/>
      <c r="V21" s="276"/>
      <c r="W21" s="276"/>
      <c r="X21" s="276"/>
      <c r="Y21" s="93"/>
      <c r="Z21" s="276"/>
      <c r="AA21" s="276"/>
      <c r="AB21" s="276"/>
      <c r="AC21" s="418"/>
    </row>
    <row r="22" spans="2:29" ht="23.1" customHeight="1">
      <c r="B22" s="10">
        <f t="shared" si="0"/>
        <v>17</v>
      </c>
      <c r="C22" s="273"/>
      <c r="D22" s="92"/>
      <c r="E22" s="93"/>
      <c r="F22" s="91"/>
      <c r="G22" s="92"/>
      <c r="H22" s="93"/>
      <c r="I22" s="93"/>
      <c r="J22" s="92"/>
      <c r="K22" s="92"/>
      <c r="L22" s="92"/>
      <c r="M22" s="92"/>
      <c r="N22" s="280"/>
      <c r="O22" s="92"/>
      <c r="P22" s="92"/>
      <c r="Q22" s="92"/>
      <c r="R22" s="92"/>
      <c r="S22" s="92"/>
      <c r="T22" s="92"/>
      <c r="U22" s="92"/>
      <c r="V22" s="276"/>
      <c r="W22" s="276"/>
      <c r="X22" s="276"/>
      <c r="Y22" s="93"/>
      <c r="Z22" s="276"/>
      <c r="AA22" s="276"/>
      <c r="AB22" s="276"/>
      <c r="AC22" s="418"/>
    </row>
    <row r="23" spans="2:29" ht="23.1" customHeight="1">
      <c r="B23" s="10">
        <f t="shared" si="0"/>
        <v>18</v>
      </c>
      <c r="C23" s="273"/>
      <c r="D23" s="92"/>
      <c r="E23" s="93"/>
      <c r="F23" s="91"/>
      <c r="G23" s="92"/>
      <c r="H23" s="93"/>
      <c r="I23" s="93"/>
      <c r="J23" s="92"/>
      <c r="K23" s="92"/>
      <c r="L23" s="92"/>
      <c r="M23" s="92"/>
      <c r="N23" s="280"/>
      <c r="O23" s="92"/>
      <c r="P23" s="92"/>
      <c r="Q23" s="92"/>
      <c r="R23" s="92"/>
      <c r="S23" s="92"/>
      <c r="T23" s="92"/>
      <c r="U23" s="92"/>
      <c r="V23" s="276"/>
      <c r="W23" s="276"/>
      <c r="X23" s="276"/>
      <c r="Y23" s="93"/>
      <c r="Z23" s="276"/>
      <c r="AA23" s="276"/>
      <c r="AB23" s="276"/>
      <c r="AC23" s="418"/>
    </row>
    <row r="24" spans="2:29" ht="23.1" customHeight="1">
      <c r="B24" s="10">
        <f t="shared" si="0"/>
        <v>19</v>
      </c>
      <c r="C24" s="273"/>
      <c r="D24" s="92"/>
      <c r="E24" s="93"/>
      <c r="F24" s="91"/>
      <c r="G24" s="92"/>
      <c r="H24" s="93"/>
      <c r="I24" s="93"/>
      <c r="J24" s="92"/>
      <c r="K24" s="92"/>
      <c r="L24" s="92"/>
      <c r="M24" s="92"/>
      <c r="N24" s="280"/>
      <c r="O24" s="92"/>
      <c r="P24" s="92"/>
      <c r="Q24" s="92"/>
      <c r="R24" s="92"/>
      <c r="S24" s="92"/>
      <c r="T24" s="92"/>
      <c r="U24" s="92"/>
      <c r="V24" s="276"/>
      <c r="W24" s="276"/>
      <c r="X24" s="276"/>
      <c r="Y24" s="93"/>
      <c r="Z24" s="276"/>
      <c r="AA24" s="276"/>
      <c r="AB24" s="276"/>
      <c r="AC24" s="418"/>
    </row>
    <row r="25" spans="2:29" ht="23.1" customHeight="1">
      <c r="B25" s="10">
        <f t="shared" si="0"/>
        <v>20</v>
      </c>
      <c r="C25" s="273"/>
      <c r="D25" s="92"/>
      <c r="E25" s="93"/>
      <c r="F25" s="91"/>
      <c r="G25" s="92"/>
      <c r="H25" s="93"/>
      <c r="I25" s="93"/>
      <c r="J25" s="92"/>
      <c r="K25" s="92"/>
      <c r="L25" s="92"/>
      <c r="M25" s="92"/>
      <c r="N25" s="280"/>
      <c r="O25" s="92"/>
      <c r="P25" s="92"/>
      <c r="Q25" s="92"/>
      <c r="R25" s="92"/>
      <c r="S25" s="92"/>
      <c r="T25" s="92"/>
      <c r="U25" s="92"/>
      <c r="V25" s="276"/>
      <c r="W25" s="276"/>
      <c r="X25" s="276"/>
      <c r="Y25" s="93"/>
      <c r="Z25" s="276"/>
      <c r="AA25" s="276"/>
      <c r="AB25" s="276"/>
      <c r="AC25" s="418"/>
    </row>
    <row r="26" spans="2:29" ht="23.1" customHeight="1">
      <c r="B26" s="10">
        <f t="shared" si="0"/>
        <v>21</v>
      </c>
      <c r="C26" s="273"/>
      <c r="D26" s="92"/>
      <c r="E26" s="93"/>
      <c r="F26" s="91"/>
      <c r="G26" s="92"/>
      <c r="H26" s="93"/>
      <c r="I26" s="93"/>
      <c r="J26" s="92"/>
      <c r="K26" s="92"/>
      <c r="L26" s="92"/>
      <c r="M26" s="92"/>
      <c r="N26" s="280"/>
      <c r="O26" s="92"/>
      <c r="P26" s="92"/>
      <c r="Q26" s="92"/>
      <c r="R26" s="92"/>
      <c r="S26" s="92"/>
      <c r="T26" s="92"/>
      <c r="U26" s="92"/>
      <c r="V26" s="276"/>
      <c r="W26" s="276"/>
      <c r="X26" s="276"/>
      <c r="Y26" s="93"/>
      <c r="Z26" s="276"/>
      <c r="AA26" s="276"/>
      <c r="AB26" s="276"/>
      <c r="AC26" s="418"/>
    </row>
    <row r="27" spans="2:29" ht="23.1" customHeight="1">
      <c r="B27" s="10">
        <f t="shared" si="0"/>
        <v>22</v>
      </c>
      <c r="C27" s="273"/>
      <c r="D27" s="92"/>
      <c r="E27" s="93"/>
      <c r="F27" s="91"/>
      <c r="G27" s="92"/>
      <c r="H27" s="93"/>
      <c r="I27" s="93"/>
      <c r="J27" s="92"/>
      <c r="K27" s="92"/>
      <c r="L27" s="92"/>
      <c r="M27" s="92"/>
      <c r="N27" s="280"/>
      <c r="O27" s="92"/>
      <c r="P27" s="92"/>
      <c r="Q27" s="92"/>
      <c r="R27" s="92"/>
      <c r="S27" s="92"/>
      <c r="T27" s="92"/>
      <c r="U27" s="92"/>
      <c r="V27" s="276"/>
      <c r="W27" s="276"/>
      <c r="X27" s="276"/>
      <c r="Y27" s="93"/>
      <c r="Z27" s="276"/>
      <c r="AA27" s="276"/>
      <c r="AB27" s="276"/>
      <c r="AC27" s="418"/>
    </row>
    <row r="28" spans="2:29" ht="23.1" customHeight="1">
      <c r="B28" s="10">
        <f t="shared" si="0"/>
        <v>23</v>
      </c>
      <c r="C28" s="273"/>
      <c r="D28" s="92"/>
      <c r="E28" s="93"/>
      <c r="F28" s="91"/>
      <c r="G28" s="92"/>
      <c r="H28" s="93"/>
      <c r="I28" s="93"/>
      <c r="J28" s="92"/>
      <c r="K28" s="92"/>
      <c r="L28" s="92"/>
      <c r="M28" s="92"/>
      <c r="N28" s="280"/>
      <c r="O28" s="92"/>
      <c r="P28" s="92"/>
      <c r="Q28" s="92"/>
      <c r="R28" s="92"/>
      <c r="S28" s="92"/>
      <c r="T28" s="92"/>
      <c r="U28" s="92"/>
      <c r="V28" s="276"/>
      <c r="W28" s="276"/>
      <c r="X28" s="276"/>
      <c r="Y28" s="93"/>
      <c r="Z28" s="276"/>
      <c r="AA28" s="276"/>
      <c r="AB28" s="276"/>
      <c r="AC28" s="418"/>
    </row>
    <row r="29" spans="2:29" ht="23.1" customHeight="1">
      <c r="B29" s="10">
        <f t="shared" si="0"/>
        <v>24</v>
      </c>
      <c r="C29" s="273"/>
      <c r="D29" s="92"/>
      <c r="E29" s="93"/>
      <c r="F29" s="91"/>
      <c r="G29" s="92"/>
      <c r="H29" s="93"/>
      <c r="I29" s="93"/>
      <c r="J29" s="92"/>
      <c r="K29" s="92"/>
      <c r="L29" s="92"/>
      <c r="M29" s="92"/>
      <c r="N29" s="280"/>
      <c r="O29" s="92"/>
      <c r="P29" s="92"/>
      <c r="Q29" s="92"/>
      <c r="R29" s="92"/>
      <c r="S29" s="92"/>
      <c r="T29" s="92"/>
      <c r="U29" s="92"/>
      <c r="V29" s="276"/>
      <c r="W29" s="276"/>
      <c r="X29" s="276"/>
      <c r="Y29" s="93"/>
      <c r="Z29" s="276"/>
      <c r="AA29" s="276"/>
      <c r="AB29" s="276"/>
      <c r="AC29" s="418"/>
    </row>
    <row r="30" spans="2:29" ht="23.1" customHeight="1">
      <c r="B30" s="10">
        <f t="shared" si="0"/>
        <v>25</v>
      </c>
      <c r="C30" s="274"/>
      <c r="D30" s="94"/>
      <c r="E30" s="95"/>
      <c r="F30" s="415"/>
      <c r="G30" s="94"/>
      <c r="H30" s="93"/>
      <c r="I30" s="93"/>
      <c r="J30" s="94"/>
      <c r="K30" s="94"/>
      <c r="L30" s="94"/>
      <c r="M30" s="94"/>
      <c r="N30" s="281"/>
      <c r="O30" s="92"/>
      <c r="P30" s="92"/>
      <c r="Q30" s="92"/>
      <c r="R30" s="92"/>
      <c r="S30" s="92"/>
      <c r="T30" s="92"/>
      <c r="U30" s="92"/>
      <c r="V30" s="277"/>
      <c r="W30" s="277"/>
      <c r="X30" s="277"/>
      <c r="Y30" s="95"/>
      <c r="Z30" s="277"/>
      <c r="AA30" s="277"/>
      <c r="AB30" s="277"/>
      <c r="AC30" s="418"/>
    </row>
    <row r="31" spans="2:29" ht="23.1" customHeight="1">
      <c r="B31" s="10">
        <f t="shared" si="0"/>
        <v>26</v>
      </c>
      <c r="C31" s="274"/>
      <c r="D31" s="94"/>
      <c r="E31" s="95"/>
      <c r="F31" s="415"/>
      <c r="G31" s="94"/>
      <c r="H31" s="93"/>
      <c r="I31" s="93"/>
      <c r="J31" s="94"/>
      <c r="K31" s="94"/>
      <c r="L31" s="94"/>
      <c r="M31" s="94"/>
      <c r="N31" s="281"/>
      <c r="O31" s="92"/>
      <c r="P31" s="92"/>
      <c r="Q31" s="92"/>
      <c r="R31" s="92"/>
      <c r="S31" s="92"/>
      <c r="T31" s="92"/>
      <c r="U31" s="92"/>
      <c r="V31" s="277"/>
      <c r="W31" s="277"/>
      <c r="X31" s="277"/>
      <c r="Y31" s="95"/>
      <c r="Z31" s="277"/>
      <c r="AA31" s="277"/>
      <c r="AB31" s="277"/>
      <c r="AC31" s="418"/>
    </row>
    <row r="32" spans="2:29" ht="23.1" customHeight="1">
      <c r="B32" s="10">
        <f t="shared" si="0"/>
        <v>27</v>
      </c>
      <c r="C32" s="274"/>
      <c r="D32" s="94"/>
      <c r="E32" s="95"/>
      <c r="F32" s="415"/>
      <c r="G32" s="94"/>
      <c r="H32" s="93"/>
      <c r="I32" s="93"/>
      <c r="J32" s="94"/>
      <c r="K32" s="94"/>
      <c r="L32" s="94"/>
      <c r="M32" s="94"/>
      <c r="N32" s="281"/>
      <c r="O32" s="92"/>
      <c r="P32" s="92"/>
      <c r="Q32" s="92"/>
      <c r="R32" s="92"/>
      <c r="S32" s="92"/>
      <c r="T32" s="92"/>
      <c r="U32" s="92"/>
      <c r="V32" s="277"/>
      <c r="W32" s="277"/>
      <c r="X32" s="277"/>
      <c r="Y32" s="95"/>
      <c r="Z32" s="277"/>
      <c r="AA32" s="277"/>
      <c r="AB32" s="277"/>
      <c r="AC32" s="418"/>
    </row>
    <row r="33" spans="2:29" ht="23.1" customHeight="1">
      <c r="B33" s="10">
        <f t="shared" si="0"/>
        <v>28</v>
      </c>
      <c r="C33" s="274"/>
      <c r="D33" s="94"/>
      <c r="E33" s="95"/>
      <c r="F33" s="415"/>
      <c r="G33" s="94"/>
      <c r="H33" s="93"/>
      <c r="I33" s="93"/>
      <c r="J33" s="94"/>
      <c r="K33" s="94"/>
      <c r="L33" s="94"/>
      <c r="M33" s="94"/>
      <c r="N33" s="281"/>
      <c r="O33" s="92"/>
      <c r="P33" s="92"/>
      <c r="Q33" s="92"/>
      <c r="R33" s="92"/>
      <c r="S33" s="92"/>
      <c r="T33" s="92"/>
      <c r="U33" s="92"/>
      <c r="V33" s="277"/>
      <c r="W33" s="277"/>
      <c r="X33" s="277"/>
      <c r="Y33" s="95"/>
      <c r="Z33" s="277"/>
      <c r="AA33" s="277"/>
      <c r="AB33" s="277"/>
      <c r="AC33" s="418"/>
    </row>
    <row r="34" spans="2:29" ht="23.1" customHeight="1">
      <c r="B34" s="10">
        <f t="shared" si="0"/>
        <v>29</v>
      </c>
      <c r="C34" s="274"/>
      <c r="D34" s="94"/>
      <c r="E34" s="95"/>
      <c r="F34" s="415"/>
      <c r="G34" s="94"/>
      <c r="H34" s="93"/>
      <c r="I34" s="93"/>
      <c r="J34" s="94"/>
      <c r="K34" s="94"/>
      <c r="L34" s="94"/>
      <c r="M34" s="94"/>
      <c r="N34" s="281"/>
      <c r="O34" s="92"/>
      <c r="P34" s="92"/>
      <c r="Q34" s="92"/>
      <c r="R34" s="92"/>
      <c r="S34" s="92"/>
      <c r="T34" s="92"/>
      <c r="U34" s="92"/>
      <c r="V34" s="277"/>
      <c r="W34" s="277"/>
      <c r="X34" s="277"/>
      <c r="Y34" s="95"/>
      <c r="Z34" s="277"/>
      <c r="AA34" s="277"/>
      <c r="AB34" s="277"/>
      <c r="AC34" s="418"/>
    </row>
    <row r="35" spans="2:29" ht="23.1" customHeight="1">
      <c r="B35" s="10">
        <f t="shared" si="0"/>
        <v>30</v>
      </c>
      <c r="C35" s="274"/>
      <c r="D35" s="94"/>
      <c r="E35" s="95"/>
      <c r="F35" s="415"/>
      <c r="G35" s="94"/>
      <c r="H35" s="93"/>
      <c r="I35" s="93"/>
      <c r="J35" s="94"/>
      <c r="K35" s="94"/>
      <c r="L35" s="94"/>
      <c r="M35" s="94"/>
      <c r="N35" s="281"/>
      <c r="O35" s="92"/>
      <c r="P35" s="92"/>
      <c r="Q35" s="92"/>
      <c r="R35" s="92"/>
      <c r="S35" s="92"/>
      <c r="T35" s="92"/>
      <c r="U35" s="92"/>
      <c r="V35" s="277"/>
      <c r="W35" s="277"/>
      <c r="X35" s="277"/>
      <c r="Y35" s="95"/>
      <c r="Z35" s="277"/>
      <c r="AA35" s="277"/>
      <c r="AB35" s="277"/>
      <c r="AC35" s="418"/>
    </row>
    <row r="36" spans="2:29" ht="23.1" customHeight="1">
      <c r="B36" s="10">
        <f t="shared" si="0"/>
        <v>31</v>
      </c>
      <c r="C36" s="274"/>
      <c r="D36" s="94"/>
      <c r="E36" s="95"/>
      <c r="F36" s="415"/>
      <c r="G36" s="94"/>
      <c r="H36" s="93"/>
      <c r="I36" s="93"/>
      <c r="J36" s="94"/>
      <c r="K36" s="94"/>
      <c r="L36" s="94"/>
      <c r="M36" s="94"/>
      <c r="N36" s="281"/>
      <c r="O36" s="92"/>
      <c r="P36" s="92"/>
      <c r="Q36" s="92"/>
      <c r="R36" s="92"/>
      <c r="S36" s="92"/>
      <c r="T36" s="92"/>
      <c r="U36" s="92"/>
      <c r="V36" s="277"/>
      <c r="W36" s="277"/>
      <c r="X36" s="277"/>
      <c r="Y36" s="95"/>
      <c r="Z36" s="277"/>
      <c r="AA36" s="277"/>
      <c r="AB36" s="277"/>
      <c r="AC36" s="418"/>
    </row>
    <row r="37" spans="2:29" ht="23.1" customHeight="1">
      <c r="B37" s="10">
        <f t="shared" si="0"/>
        <v>32</v>
      </c>
      <c r="C37" s="274"/>
      <c r="D37" s="94"/>
      <c r="E37" s="95"/>
      <c r="F37" s="415"/>
      <c r="G37" s="94"/>
      <c r="H37" s="93"/>
      <c r="I37" s="93"/>
      <c r="J37" s="94"/>
      <c r="K37" s="94"/>
      <c r="L37" s="94"/>
      <c r="M37" s="94"/>
      <c r="N37" s="281"/>
      <c r="O37" s="92"/>
      <c r="P37" s="92"/>
      <c r="Q37" s="92"/>
      <c r="R37" s="92"/>
      <c r="S37" s="92"/>
      <c r="T37" s="92"/>
      <c r="U37" s="92"/>
      <c r="V37" s="277"/>
      <c r="W37" s="277"/>
      <c r="X37" s="277"/>
      <c r="Y37" s="95"/>
      <c r="Z37" s="277"/>
      <c r="AA37" s="277"/>
      <c r="AB37" s="277"/>
      <c r="AC37" s="418"/>
    </row>
    <row r="38" spans="2:29" ht="23.1" customHeight="1">
      <c r="B38" s="10">
        <f t="shared" si="0"/>
        <v>33</v>
      </c>
      <c r="C38" s="274"/>
      <c r="D38" s="94"/>
      <c r="E38" s="95"/>
      <c r="F38" s="415"/>
      <c r="G38" s="94"/>
      <c r="H38" s="93"/>
      <c r="I38" s="93"/>
      <c r="J38" s="94"/>
      <c r="K38" s="94"/>
      <c r="L38" s="94"/>
      <c r="M38" s="94"/>
      <c r="N38" s="281"/>
      <c r="O38" s="92"/>
      <c r="P38" s="92"/>
      <c r="Q38" s="92"/>
      <c r="R38" s="92"/>
      <c r="S38" s="92"/>
      <c r="T38" s="92"/>
      <c r="U38" s="92"/>
      <c r="V38" s="277"/>
      <c r="W38" s="277"/>
      <c r="X38" s="277"/>
      <c r="Y38" s="95"/>
      <c r="Z38" s="277"/>
      <c r="AA38" s="277"/>
      <c r="AB38" s="277"/>
      <c r="AC38" s="418"/>
    </row>
    <row r="39" spans="2:29" ht="23.1" customHeight="1">
      <c r="B39" s="10">
        <f t="shared" si="0"/>
        <v>34</v>
      </c>
      <c r="C39" s="274"/>
      <c r="D39" s="94"/>
      <c r="E39" s="95"/>
      <c r="F39" s="415"/>
      <c r="G39" s="94"/>
      <c r="H39" s="93"/>
      <c r="I39" s="93"/>
      <c r="J39" s="94"/>
      <c r="K39" s="94"/>
      <c r="L39" s="94"/>
      <c r="M39" s="94"/>
      <c r="N39" s="281"/>
      <c r="O39" s="92"/>
      <c r="P39" s="92"/>
      <c r="Q39" s="92"/>
      <c r="R39" s="92"/>
      <c r="S39" s="92"/>
      <c r="T39" s="92"/>
      <c r="U39" s="92"/>
      <c r="V39" s="277"/>
      <c r="W39" s="277"/>
      <c r="X39" s="277"/>
      <c r="Y39" s="95"/>
      <c r="Z39" s="277"/>
      <c r="AA39" s="277"/>
      <c r="AB39" s="277"/>
      <c r="AC39" s="418"/>
    </row>
    <row r="40" spans="2:29" ht="23.1" customHeight="1">
      <c r="B40" s="10">
        <f t="shared" si="0"/>
        <v>35</v>
      </c>
      <c r="C40" s="274"/>
      <c r="D40" s="94"/>
      <c r="E40" s="95"/>
      <c r="F40" s="415"/>
      <c r="G40" s="94"/>
      <c r="H40" s="93"/>
      <c r="I40" s="93"/>
      <c r="J40" s="94"/>
      <c r="K40" s="94"/>
      <c r="L40" s="94"/>
      <c r="M40" s="94"/>
      <c r="N40" s="281"/>
      <c r="O40" s="92"/>
      <c r="P40" s="92"/>
      <c r="Q40" s="92"/>
      <c r="R40" s="92"/>
      <c r="S40" s="92"/>
      <c r="T40" s="92"/>
      <c r="U40" s="92"/>
      <c r="V40" s="277"/>
      <c r="W40" s="277"/>
      <c r="X40" s="277"/>
      <c r="Y40" s="95"/>
      <c r="Z40" s="277"/>
      <c r="AA40" s="277"/>
      <c r="AB40" s="277"/>
      <c r="AC40" s="418"/>
    </row>
    <row r="41" spans="2:29" ht="23.1" customHeight="1">
      <c r="B41" s="10">
        <f t="shared" si="0"/>
        <v>36</v>
      </c>
      <c r="C41" s="274"/>
      <c r="D41" s="94"/>
      <c r="E41" s="95"/>
      <c r="F41" s="415"/>
      <c r="G41" s="94"/>
      <c r="H41" s="93"/>
      <c r="I41" s="93"/>
      <c r="J41" s="94"/>
      <c r="K41" s="94"/>
      <c r="L41" s="94"/>
      <c r="M41" s="94"/>
      <c r="N41" s="281"/>
      <c r="O41" s="92"/>
      <c r="P41" s="92"/>
      <c r="Q41" s="92"/>
      <c r="R41" s="92"/>
      <c r="S41" s="92"/>
      <c r="T41" s="92"/>
      <c r="U41" s="92"/>
      <c r="V41" s="277"/>
      <c r="W41" s="277"/>
      <c r="X41" s="277"/>
      <c r="Y41" s="95"/>
      <c r="Z41" s="277"/>
      <c r="AA41" s="277"/>
      <c r="AB41" s="277"/>
      <c r="AC41" s="418"/>
    </row>
    <row r="42" spans="2:29" ht="23.1" customHeight="1">
      <c r="B42" s="10">
        <f t="shared" si="0"/>
        <v>37</v>
      </c>
      <c r="C42" s="274"/>
      <c r="D42" s="94"/>
      <c r="E42" s="95"/>
      <c r="F42" s="415"/>
      <c r="G42" s="94"/>
      <c r="H42" s="93"/>
      <c r="I42" s="93"/>
      <c r="J42" s="94"/>
      <c r="K42" s="94"/>
      <c r="L42" s="94"/>
      <c r="M42" s="94"/>
      <c r="N42" s="281"/>
      <c r="O42" s="92"/>
      <c r="P42" s="92"/>
      <c r="Q42" s="92"/>
      <c r="R42" s="92"/>
      <c r="S42" s="92"/>
      <c r="T42" s="92"/>
      <c r="U42" s="92"/>
      <c r="V42" s="277"/>
      <c r="W42" s="277"/>
      <c r="X42" s="277"/>
      <c r="Y42" s="95"/>
      <c r="Z42" s="277"/>
      <c r="AA42" s="277"/>
      <c r="AB42" s="277"/>
      <c r="AC42" s="418"/>
    </row>
    <row r="43" spans="2:29" ht="23.1" customHeight="1">
      <c r="B43" s="10">
        <f t="shared" si="0"/>
        <v>38</v>
      </c>
      <c r="C43" s="274"/>
      <c r="D43" s="94"/>
      <c r="E43" s="95"/>
      <c r="F43" s="415"/>
      <c r="G43" s="94"/>
      <c r="H43" s="93"/>
      <c r="I43" s="93"/>
      <c r="J43" s="94"/>
      <c r="K43" s="94"/>
      <c r="L43" s="94"/>
      <c r="M43" s="94"/>
      <c r="N43" s="281"/>
      <c r="O43" s="92"/>
      <c r="P43" s="92"/>
      <c r="Q43" s="92"/>
      <c r="R43" s="92"/>
      <c r="S43" s="92"/>
      <c r="T43" s="92"/>
      <c r="U43" s="92"/>
      <c r="V43" s="277"/>
      <c r="W43" s="277"/>
      <c r="X43" s="277"/>
      <c r="Y43" s="95"/>
      <c r="Z43" s="277"/>
      <c r="AA43" s="277"/>
      <c r="AB43" s="277"/>
      <c r="AC43" s="418"/>
    </row>
    <row r="44" spans="2:29" ht="23.1" customHeight="1">
      <c r="B44" s="10">
        <f t="shared" si="0"/>
        <v>39</v>
      </c>
      <c r="C44" s="274"/>
      <c r="D44" s="94"/>
      <c r="E44" s="95"/>
      <c r="F44" s="415"/>
      <c r="G44" s="94"/>
      <c r="H44" s="93"/>
      <c r="I44" s="93"/>
      <c r="J44" s="94"/>
      <c r="K44" s="94"/>
      <c r="L44" s="94"/>
      <c r="M44" s="94"/>
      <c r="N44" s="281"/>
      <c r="O44" s="92"/>
      <c r="P44" s="92"/>
      <c r="Q44" s="92"/>
      <c r="R44" s="92"/>
      <c r="S44" s="92"/>
      <c r="T44" s="92"/>
      <c r="U44" s="92"/>
      <c r="V44" s="277"/>
      <c r="W44" s="277"/>
      <c r="X44" s="277"/>
      <c r="Y44" s="95"/>
      <c r="Z44" s="277"/>
      <c r="AA44" s="277"/>
      <c r="AB44" s="277"/>
      <c r="AC44" s="418"/>
    </row>
    <row r="45" spans="2:29" ht="23.1" customHeight="1">
      <c r="B45" s="10">
        <f t="shared" si="0"/>
        <v>40</v>
      </c>
      <c r="C45" s="274"/>
      <c r="D45" s="94"/>
      <c r="E45" s="95"/>
      <c r="F45" s="415"/>
      <c r="G45" s="94"/>
      <c r="H45" s="93"/>
      <c r="I45" s="93"/>
      <c r="J45" s="94"/>
      <c r="K45" s="94"/>
      <c r="L45" s="94"/>
      <c r="M45" s="94"/>
      <c r="N45" s="281"/>
      <c r="O45" s="92"/>
      <c r="P45" s="92"/>
      <c r="Q45" s="92"/>
      <c r="R45" s="92"/>
      <c r="S45" s="92"/>
      <c r="T45" s="92"/>
      <c r="U45" s="92"/>
      <c r="V45" s="277"/>
      <c r="W45" s="277"/>
      <c r="X45" s="277"/>
      <c r="Y45" s="95"/>
      <c r="Z45" s="277"/>
      <c r="AA45" s="277"/>
      <c r="AB45" s="277"/>
      <c r="AC45" s="418"/>
    </row>
    <row r="46" spans="2:29" ht="23.1" customHeight="1">
      <c r="B46" s="10">
        <f t="shared" si="0"/>
        <v>41</v>
      </c>
      <c r="C46" s="274"/>
      <c r="D46" s="94"/>
      <c r="E46" s="95"/>
      <c r="F46" s="415"/>
      <c r="G46" s="94"/>
      <c r="H46" s="93"/>
      <c r="I46" s="93"/>
      <c r="J46" s="94"/>
      <c r="K46" s="94"/>
      <c r="L46" s="94"/>
      <c r="M46" s="94"/>
      <c r="N46" s="281"/>
      <c r="O46" s="92"/>
      <c r="P46" s="92"/>
      <c r="Q46" s="92"/>
      <c r="R46" s="92"/>
      <c r="S46" s="92"/>
      <c r="T46" s="92"/>
      <c r="U46" s="92"/>
      <c r="V46" s="277"/>
      <c r="W46" s="277"/>
      <c r="X46" s="277"/>
      <c r="Y46" s="95"/>
      <c r="Z46" s="277"/>
      <c r="AA46" s="277"/>
      <c r="AB46" s="277"/>
      <c r="AC46" s="418"/>
    </row>
    <row r="47" spans="2:29" ht="23.1" customHeight="1">
      <c r="B47" s="10">
        <f t="shared" si="0"/>
        <v>42</v>
      </c>
      <c r="C47" s="274"/>
      <c r="D47" s="94"/>
      <c r="E47" s="95"/>
      <c r="F47" s="415"/>
      <c r="G47" s="94"/>
      <c r="H47" s="93"/>
      <c r="I47" s="93"/>
      <c r="J47" s="94"/>
      <c r="K47" s="94"/>
      <c r="L47" s="94"/>
      <c r="M47" s="94"/>
      <c r="N47" s="281"/>
      <c r="O47" s="92"/>
      <c r="P47" s="92"/>
      <c r="Q47" s="92"/>
      <c r="R47" s="92"/>
      <c r="S47" s="92"/>
      <c r="T47" s="92"/>
      <c r="U47" s="92"/>
      <c r="V47" s="277"/>
      <c r="W47" s="277"/>
      <c r="X47" s="277"/>
      <c r="Y47" s="95"/>
      <c r="Z47" s="277"/>
      <c r="AA47" s="277"/>
      <c r="AB47" s="277"/>
      <c r="AC47" s="418"/>
    </row>
    <row r="48" spans="2:29" ht="23.1" customHeight="1">
      <c r="B48" s="10">
        <f t="shared" si="0"/>
        <v>43</v>
      </c>
      <c r="C48" s="274"/>
      <c r="D48" s="94"/>
      <c r="E48" s="95"/>
      <c r="F48" s="415"/>
      <c r="G48" s="94"/>
      <c r="H48" s="93"/>
      <c r="I48" s="93"/>
      <c r="J48" s="94"/>
      <c r="K48" s="94"/>
      <c r="L48" s="94"/>
      <c r="M48" s="94"/>
      <c r="N48" s="281"/>
      <c r="O48" s="92"/>
      <c r="P48" s="92"/>
      <c r="Q48" s="92"/>
      <c r="R48" s="92"/>
      <c r="S48" s="92"/>
      <c r="T48" s="92"/>
      <c r="U48" s="92"/>
      <c r="V48" s="277"/>
      <c r="W48" s="277"/>
      <c r="X48" s="277"/>
      <c r="Y48" s="95"/>
      <c r="Z48" s="277"/>
      <c r="AA48" s="277"/>
      <c r="AB48" s="277"/>
      <c r="AC48" s="418"/>
    </row>
    <row r="49" spans="2:29" ht="23.1" customHeight="1">
      <c r="B49" s="10">
        <f t="shared" si="0"/>
        <v>44</v>
      </c>
      <c r="C49" s="274"/>
      <c r="D49" s="94"/>
      <c r="E49" s="95"/>
      <c r="F49" s="415"/>
      <c r="G49" s="94"/>
      <c r="H49" s="93"/>
      <c r="I49" s="93"/>
      <c r="J49" s="94"/>
      <c r="K49" s="94"/>
      <c r="L49" s="94"/>
      <c r="M49" s="94"/>
      <c r="N49" s="281"/>
      <c r="O49" s="92"/>
      <c r="P49" s="92"/>
      <c r="Q49" s="92"/>
      <c r="R49" s="92"/>
      <c r="S49" s="92"/>
      <c r="T49" s="92"/>
      <c r="U49" s="92"/>
      <c r="V49" s="277"/>
      <c r="W49" s="277"/>
      <c r="X49" s="277"/>
      <c r="Y49" s="95"/>
      <c r="Z49" s="277"/>
      <c r="AA49" s="277"/>
      <c r="AB49" s="277"/>
      <c r="AC49" s="418"/>
    </row>
    <row r="50" spans="2:29" ht="23.1" customHeight="1">
      <c r="B50" s="10">
        <f t="shared" si="0"/>
        <v>45</v>
      </c>
      <c r="C50" s="274"/>
      <c r="D50" s="94"/>
      <c r="E50" s="95"/>
      <c r="F50" s="415"/>
      <c r="G50" s="94"/>
      <c r="H50" s="93"/>
      <c r="I50" s="93"/>
      <c r="J50" s="94"/>
      <c r="K50" s="94"/>
      <c r="L50" s="94"/>
      <c r="M50" s="94"/>
      <c r="N50" s="281"/>
      <c r="O50" s="92"/>
      <c r="P50" s="92"/>
      <c r="Q50" s="92"/>
      <c r="R50" s="92"/>
      <c r="S50" s="92"/>
      <c r="T50" s="92"/>
      <c r="U50" s="92"/>
      <c r="V50" s="277"/>
      <c r="W50" s="277"/>
      <c r="X50" s="277"/>
      <c r="Y50" s="95"/>
      <c r="Z50" s="277"/>
      <c r="AA50" s="277"/>
      <c r="AB50" s="277"/>
      <c r="AC50" s="418"/>
    </row>
    <row r="51" spans="2:29" ht="23.1" customHeight="1">
      <c r="B51" s="10">
        <f t="shared" si="0"/>
        <v>46</v>
      </c>
      <c r="C51" s="274"/>
      <c r="D51" s="94"/>
      <c r="E51" s="95"/>
      <c r="F51" s="415"/>
      <c r="G51" s="94"/>
      <c r="H51" s="93"/>
      <c r="I51" s="93"/>
      <c r="J51" s="94"/>
      <c r="K51" s="94"/>
      <c r="L51" s="94"/>
      <c r="M51" s="94"/>
      <c r="N51" s="281"/>
      <c r="O51" s="92"/>
      <c r="P51" s="92"/>
      <c r="Q51" s="92"/>
      <c r="R51" s="92"/>
      <c r="S51" s="92"/>
      <c r="T51" s="92"/>
      <c r="U51" s="92"/>
      <c r="V51" s="277"/>
      <c r="W51" s="277"/>
      <c r="X51" s="277"/>
      <c r="Y51" s="95"/>
      <c r="Z51" s="277"/>
      <c r="AA51" s="277"/>
      <c r="AB51" s="277"/>
      <c r="AC51" s="418"/>
    </row>
    <row r="52" spans="2:29" ht="23.1" customHeight="1">
      <c r="B52" s="10">
        <f t="shared" si="0"/>
        <v>47</v>
      </c>
      <c r="C52" s="274"/>
      <c r="D52" s="94"/>
      <c r="E52" s="95"/>
      <c r="F52" s="415"/>
      <c r="G52" s="94"/>
      <c r="H52" s="93"/>
      <c r="I52" s="93"/>
      <c r="J52" s="94"/>
      <c r="K52" s="94"/>
      <c r="L52" s="94"/>
      <c r="M52" s="94"/>
      <c r="N52" s="281"/>
      <c r="O52" s="92"/>
      <c r="P52" s="92"/>
      <c r="Q52" s="92"/>
      <c r="R52" s="92"/>
      <c r="S52" s="92"/>
      <c r="T52" s="92"/>
      <c r="U52" s="92"/>
      <c r="V52" s="277"/>
      <c r="W52" s="277"/>
      <c r="X52" s="277"/>
      <c r="Y52" s="95"/>
      <c r="Z52" s="277"/>
      <c r="AA52" s="277"/>
      <c r="AB52" s="277"/>
      <c r="AC52" s="418"/>
    </row>
    <row r="53" spans="2:29" ht="23.1" customHeight="1">
      <c r="B53" s="10">
        <f t="shared" si="0"/>
        <v>48</v>
      </c>
      <c r="C53" s="274"/>
      <c r="D53" s="94"/>
      <c r="E53" s="95"/>
      <c r="F53" s="415"/>
      <c r="G53" s="94"/>
      <c r="H53" s="93"/>
      <c r="I53" s="93"/>
      <c r="J53" s="94"/>
      <c r="K53" s="94"/>
      <c r="L53" s="94"/>
      <c r="M53" s="94"/>
      <c r="N53" s="281"/>
      <c r="O53" s="92"/>
      <c r="P53" s="92"/>
      <c r="Q53" s="92"/>
      <c r="R53" s="92"/>
      <c r="S53" s="92"/>
      <c r="T53" s="92"/>
      <c r="U53" s="92"/>
      <c r="V53" s="277"/>
      <c r="W53" s="277"/>
      <c r="X53" s="277"/>
      <c r="Y53" s="95"/>
      <c r="Z53" s="277"/>
      <c r="AA53" s="277"/>
      <c r="AB53" s="277"/>
      <c r="AC53" s="418"/>
    </row>
    <row r="54" spans="2:29" ht="23.1" customHeight="1">
      <c r="B54" s="10">
        <f t="shared" si="0"/>
        <v>49</v>
      </c>
      <c r="C54" s="274"/>
      <c r="D54" s="94"/>
      <c r="E54" s="95"/>
      <c r="F54" s="415"/>
      <c r="G54" s="94"/>
      <c r="H54" s="93"/>
      <c r="I54" s="93"/>
      <c r="J54" s="94"/>
      <c r="K54" s="94"/>
      <c r="L54" s="94"/>
      <c r="M54" s="94"/>
      <c r="N54" s="281"/>
      <c r="O54" s="92"/>
      <c r="P54" s="92"/>
      <c r="Q54" s="92"/>
      <c r="R54" s="92"/>
      <c r="S54" s="92"/>
      <c r="T54" s="92"/>
      <c r="U54" s="92"/>
      <c r="V54" s="277"/>
      <c r="W54" s="277"/>
      <c r="X54" s="277"/>
      <c r="Y54" s="95"/>
      <c r="Z54" s="277"/>
      <c r="AA54" s="277"/>
      <c r="AB54" s="277"/>
      <c r="AC54" s="418"/>
    </row>
    <row r="55" spans="2:29" ht="23.1" customHeight="1">
      <c r="B55" s="10">
        <f t="shared" si="0"/>
        <v>50</v>
      </c>
      <c r="C55" s="274"/>
      <c r="D55" s="94"/>
      <c r="E55" s="95"/>
      <c r="F55" s="415"/>
      <c r="G55" s="94"/>
      <c r="H55" s="93"/>
      <c r="I55" s="93"/>
      <c r="J55" s="94"/>
      <c r="K55" s="94"/>
      <c r="L55" s="94"/>
      <c r="M55" s="94"/>
      <c r="N55" s="281"/>
      <c r="O55" s="92"/>
      <c r="P55" s="92"/>
      <c r="Q55" s="92"/>
      <c r="R55" s="92"/>
      <c r="S55" s="92"/>
      <c r="T55" s="92"/>
      <c r="U55" s="92"/>
      <c r="V55" s="277"/>
      <c r="W55" s="277"/>
      <c r="X55" s="277"/>
      <c r="Y55" s="95"/>
      <c r="Z55" s="277"/>
      <c r="AA55" s="277"/>
      <c r="AB55" s="277"/>
      <c r="AC55" s="418"/>
    </row>
    <row r="56" spans="2:29" ht="23.1" customHeight="1">
      <c r="B56" s="10">
        <f t="shared" si="0"/>
        <v>51</v>
      </c>
      <c r="C56" s="274"/>
      <c r="D56" s="94"/>
      <c r="E56" s="95"/>
      <c r="F56" s="415"/>
      <c r="G56" s="94"/>
      <c r="H56" s="93"/>
      <c r="I56" s="93"/>
      <c r="J56" s="94"/>
      <c r="K56" s="94"/>
      <c r="L56" s="94"/>
      <c r="M56" s="94"/>
      <c r="N56" s="281"/>
      <c r="O56" s="92"/>
      <c r="P56" s="92"/>
      <c r="Q56" s="92"/>
      <c r="R56" s="92"/>
      <c r="S56" s="92"/>
      <c r="T56" s="92"/>
      <c r="U56" s="92"/>
      <c r="V56" s="277"/>
      <c r="W56" s="277"/>
      <c r="X56" s="277"/>
      <c r="Y56" s="95"/>
      <c r="Z56" s="277"/>
      <c r="AA56" s="277"/>
      <c r="AB56" s="277"/>
      <c r="AC56" s="418"/>
    </row>
    <row r="57" spans="2:29" ht="23.1" customHeight="1">
      <c r="B57" s="10">
        <f t="shared" si="0"/>
        <v>52</v>
      </c>
      <c r="C57" s="274"/>
      <c r="D57" s="94"/>
      <c r="E57" s="95"/>
      <c r="F57" s="415"/>
      <c r="G57" s="94"/>
      <c r="H57" s="93"/>
      <c r="I57" s="93"/>
      <c r="J57" s="94"/>
      <c r="K57" s="94"/>
      <c r="L57" s="94"/>
      <c r="M57" s="94"/>
      <c r="N57" s="281"/>
      <c r="O57" s="92"/>
      <c r="P57" s="92"/>
      <c r="Q57" s="92"/>
      <c r="R57" s="92"/>
      <c r="S57" s="92"/>
      <c r="T57" s="92"/>
      <c r="U57" s="92"/>
      <c r="V57" s="277"/>
      <c r="W57" s="277"/>
      <c r="X57" s="277"/>
      <c r="Y57" s="95"/>
      <c r="Z57" s="277"/>
      <c r="AA57" s="277"/>
      <c r="AB57" s="277"/>
      <c r="AC57" s="418"/>
    </row>
    <row r="58" spans="2:29" ht="23.1" customHeight="1">
      <c r="B58" s="10">
        <f t="shared" si="0"/>
        <v>53</v>
      </c>
      <c r="C58" s="274"/>
      <c r="D58" s="94"/>
      <c r="E58" s="95"/>
      <c r="F58" s="415"/>
      <c r="G58" s="94"/>
      <c r="H58" s="93"/>
      <c r="I58" s="93"/>
      <c r="J58" s="94"/>
      <c r="K58" s="94"/>
      <c r="L58" s="94"/>
      <c r="M58" s="94"/>
      <c r="N58" s="281"/>
      <c r="O58" s="92"/>
      <c r="P58" s="92"/>
      <c r="Q58" s="92"/>
      <c r="R58" s="92"/>
      <c r="S58" s="92"/>
      <c r="T58" s="92"/>
      <c r="U58" s="92"/>
      <c r="V58" s="277"/>
      <c r="W58" s="277"/>
      <c r="X58" s="277"/>
      <c r="Y58" s="95"/>
      <c r="Z58" s="277"/>
      <c r="AA58" s="277"/>
      <c r="AB58" s="277"/>
      <c r="AC58" s="418"/>
    </row>
    <row r="59" spans="2:29" ht="23.1" customHeight="1">
      <c r="B59" s="10">
        <f t="shared" si="0"/>
        <v>54</v>
      </c>
      <c r="C59" s="274"/>
      <c r="D59" s="94"/>
      <c r="E59" s="95"/>
      <c r="F59" s="415"/>
      <c r="G59" s="94"/>
      <c r="H59" s="93"/>
      <c r="I59" s="93"/>
      <c r="J59" s="94"/>
      <c r="K59" s="94"/>
      <c r="L59" s="94"/>
      <c r="M59" s="94"/>
      <c r="N59" s="281"/>
      <c r="O59" s="92"/>
      <c r="P59" s="92"/>
      <c r="Q59" s="92"/>
      <c r="R59" s="92"/>
      <c r="S59" s="92"/>
      <c r="T59" s="92"/>
      <c r="U59" s="92"/>
      <c r="V59" s="277"/>
      <c r="W59" s="277"/>
      <c r="X59" s="277"/>
      <c r="Y59" s="95"/>
      <c r="Z59" s="277"/>
      <c r="AA59" s="277"/>
      <c r="AB59" s="277"/>
      <c r="AC59" s="418"/>
    </row>
    <row r="60" spans="2:29" ht="23.1" customHeight="1">
      <c r="B60" s="10">
        <f t="shared" si="0"/>
        <v>55</v>
      </c>
      <c r="C60" s="274"/>
      <c r="D60" s="94"/>
      <c r="E60" s="95"/>
      <c r="F60" s="415"/>
      <c r="G60" s="94"/>
      <c r="H60" s="93"/>
      <c r="I60" s="93"/>
      <c r="J60" s="94"/>
      <c r="K60" s="94"/>
      <c r="L60" s="94"/>
      <c r="M60" s="94"/>
      <c r="N60" s="281"/>
      <c r="O60" s="92"/>
      <c r="P60" s="92"/>
      <c r="Q60" s="92"/>
      <c r="R60" s="92"/>
      <c r="S60" s="92"/>
      <c r="T60" s="92"/>
      <c r="U60" s="92"/>
      <c r="V60" s="277"/>
      <c r="W60" s="277"/>
      <c r="X60" s="277"/>
      <c r="Y60" s="95"/>
      <c r="Z60" s="277"/>
      <c r="AA60" s="277"/>
      <c r="AB60" s="277"/>
      <c r="AC60" s="418"/>
    </row>
    <row r="61" spans="2:29" ht="23.1" customHeight="1">
      <c r="B61" s="10">
        <f t="shared" si="0"/>
        <v>56</v>
      </c>
      <c r="C61" s="274"/>
      <c r="D61" s="94"/>
      <c r="E61" s="95"/>
      <c r="F61" s="415"/>
      <c r="G61" s="94"/>
      <c r="H61" s="93"/>
      <c r="I61" s="93"/>
      <c r="J61" s="94"/>
      <c r="K61" s="94"/>
      <c r="L61" s="94"/>
      <c r="M61" s="94"/>
      <c r="N61" s="281"/>
      <c r="O61" s="92"/>
      <c r="P61" s="92"/>
      <c r="Q61" s="92"/>
      <c r="R61" s="92"/>
      <c r="S61" s="92"/>
      <c r="T61" s="92"/>
      <c r="U61" s="92"/>
      <c r="V61" s="277"/>
      <c r="W61" s="277"/>
      <c r="X61" s="277"/>
      <c r="Y61" s="95"/>
      <c r="Z61" s="277"/>
      <c r="AA61" s="277"/>
      <c r="AB61" s="277"/>
      <c r="AC61" s="418"/>
    </row>
    <row r="62" spans="2:29" ht="23.1" customHeight="1">
      <c r="B62" s="10">
        <f t="shared" si="0"/>
        <v>57</v>
      </c>
      <c r="C62" s="274"/>
      <c r="D62" s="94"/>
      <c r="E62" s="95"/>
      <c r="F62" s="415"/>
      <c r="G62" s="94"/>
      <c r="H62" s="93"/>
      <c r="I62" s="93"/>
      <c r="J62" s="94"/>
      <c r="K62" s="94"/>
      <c r="L62" s="94"/>
      <c r="M62" s="94"/>
      <c r="N62" s="281"/>
      <c r="O62" s="92"/>
      <c r="P62" s="92"/>
      <c r="Q62" s="92"/>
      <c r="R62" s="92"/>
      <c r="S62" s="92"/>
      <c r="T62" s="92"/>
      <c r="U62" s="92"/>
      <c r="V62" s="277"/>
      <c r="W62" s="277"/>
      <c r="X62" s="277"/>
      <c r="Y62" s="95"/>
      <c r="Z62" s="277"/>
      <c r="AA62" s="277"/>
      <c r="AB62" s="277"/>
      <c r="AC62" s="418"/>
    </row>
    <row r="63" spans="2:29" ht="23.1" customHeight="1">
      <c r="B63" s="10">
        <f t="shared" si="0"/>
        <v>58</v>
      </c>
      <c r="C63" s="274"/>
      <c r="D63" s="94"/>
      <c r="E63" s="95"/>
      <c r="F63" s="415"/>
      <c r="G63" s="94"/>
      <c r="H63" s="93"/>
      <c r="I63" s="93"/>
      <c r="J63" s="94"/>
      <c r="K63" s="94"/>
      <c r="L63" s="94"/>
      <c r="M63" s="94"/>
      <c r="N63" s="281"/>
      <c r="O63" s="92"/>
      <c r="P63" s="92"/>
      <c r="Q63" s="92"/>
      <c r="R63" s="92"/>
      <c r="S63" s="92"/>
      <c r="T63" s="92"/>
      <c r="U63" s="92"/>
      <c r="V63" s="277"/>
      <c r="W63" s="277"/>
      <c r="X63" s="277"/>
      <c r="Y63" s="95"/>
      <c r="Z63" s="277"/>
      <c r="AA63" s="277"/>
      <c r="AB63" s="277"/>
      <c r="AC63" s="418"/>
    </row>
    <row r="64" spans="2:29" ht="23.1" customHeight="1">
      <c r="B64" s="10">
        <f t="shared" si="0"/>
        <v>59</v>
      </c>
      <c r="C64" s="274"/>
      <c r="D64" s="94"/>
      <c r="E64" s="95"/>
      <c r="F64" s="415"/>
      <c r="G64" s="94"/>
      <c r="H64" s="93"/>
      <c r="I64" s="93"/>
      <c r="J64" s="94"/>
      <c r="K64" s="94"/>
      <c r="L64" s="94"/>
      <c r="M64" s="94"/>
      <c r="N64" s="281"/>
      <c r="O64" s="92"/>
      <c r="P64" s="92"/>
      <c r="Q64" s="92"/>
      <c r="R64" s="92"/>
      <c r="S64" s="92"/>
      <c r="T64" s="92"/>
      <c r="U64" s="92"/>
      <c r="V64" s="277"/>
      <c r="W64" s="277"/>
      <c r="X64" s="277"/>
      <c r="Y64" s="95"/>
      <c r="Z64" s="277"/>
      <c r="AA64" s="277"/>
      <c r="AB64" s="277"/>
      <c r="AC64" s="418"/>
    </row>
    <row r="65" spans="2:29" ht="23.1" customHeight="1">
      <c r="B65" s="10">
        <f t="shared" si="0"/>
        <v>60</v>
      </c>
      <c r="C65" s="274"/>
      <c r="D65" s="94"/>
      <c r="E65" s="95"/>
      <c r="F65" s="415"/>
      <c r="G65" s="94"/>
      <c r="H65" s="93"/>
      <c r="I65" s="93"/>
      <c r="J65" s="94"/>
      <c r="K65" s="94"/>
      <c r="L65" s="94"/>
      <c r="M65" s="94"/>
      <c r="N65" s="281"/>
      <c r="O65" s="92"/>
      <c r="P65" s="92"/>
      <c r="Q65" s="92"/>
      <c r="R65" s="92"/>
      <c r="S65" s="92"/>
      <c r="T65" s="92"/>
      <c r="U65" s="92"/>
      <c r="V65" s="277"/>
      <c r="W65" s="277"/>
      <c r="X65" s="277"/>
      <c r="Y65" s="95"/>
      <c r="Z65" s="277"/>
      <c r="AA65" s="277"/>
      <c r="AB65" s="277"/>
      <c r="AC65" s="418"/>
    </row>
    <row r="66" spans="2:29" ht="23.1" customHeight="1">
      <c r="B66" s="10">
        <f t="shared" si="0"/>
        <v>61</v>
      </c>
      <c r="C66" s="274"/>
      <c r="D66" s="94"/>
      <c r="E66" s="95"/>
      <c r="F66" s="415"/>
      <c r="G66" s="94"/>
      <c r="H66" s="93"/>
      <c r="I66" s="93"/>
      <c r="J66" s="94"/>
      <c r="K66" s="94"/>
      <c r="L66" s="94"/>
      <c r="M66" s="94"/>
      <c r="N66" s="281"/>
      <c r="O66" s="92"/>
      <c r="P66" s="92"/>
      <c r="Q66" s="92"/>
      <c r="R66" s="92"/>
      <c r="S66" s="92"/>
      <c r="T66" s="92"/>
      <c r="U66" s="92"/>
      <c r="V66" s="277"/>
      <c r="W66" s="277"/>
      <c r="X66" s="277"/>
      <c r="Y66" s="95"/>
      <c r="Z66" s="277"/>
      <c r="AA66" s="277"/>
      <c r="AB66" s="277"/>
      <c r="AC66" s="418"/>
    </row>
    <row r="67" spans="2:29" ht="23.1" customHeight="1">
      <c r="B67" s="10">
        <f t="shared" si="0"/>
        <v>62</v>
      </c>
      <c r="C67" s="274"/>
      <c r="D67" s="94"/>
      <c r="E67" s="95"/>
      <c r="F67" s="415"/>
      <c r="G67" s="94"/>
      <c r="H67" s="93"/>
      <c r="I67" s="93"/>
      <c r="J67" s="94"/>
      <c r="K67" s="94"/>
      <c r="L67" s="94"/>
      <c r="M67" s="94"/>
      <c r="N67" s="281"/>
      <c r="O67" s="92"/>
      <c r="P67" s="92"/>
      <c r="Q67" s="92"/>
      <c r="R67" s="92"/>
      <c r="S67" s="92"/>
      <c r="T67" s="92"/>
      <c r="U67" s="92"/>
      <c r="V67" s="277"/>
      <c r="W67" s="277"/>
      <c r="X67" s="277"/>
      <c r="Y67" s="95"/>
      <c r="Z67" s="277"/>
      <c r="AA67" s="277"/>
      <c r="AB67" s="277"/>
      <c r="AC67" s="418"/>
    </row>
    <row r="68" spans="2:29" ht="23.1" customHeight="1">
      <c r="B68" s="10">
        <f t="shared" si="0"/>
        <v>63</v>
      </c>
      <c r="C68" s="274"/>
      <c r="D68" s="94"/>
      <c r="E68" s="95"/>
      <c r="F68" s="415"/>
      <c r="G68" s="94"/>
      <c r="H68" s="93"/>
      <c r="I68" s="93"/>
      <c r="J68" s="94"/>
      <c r="K68" s="94"/>
      <c r="L68" s="94"/>
      <c r="M68" s="94"/>
      <c r="N68" s="281"/>
      <c r="O68" s="92"/>
      <c r="P68" s="92"/>
      <c r="Q68" s="92"/>
      <c r="R68" s="92"/>
      <c r="S68" s="92"/>
      <c r="T68" s="92"/>
      <c r="U68" s="92"/>
      <c r="V68" s="277"/>
      <c r="W68" s="277"/>
      <c r="X68" s="277"/>
      <c r="Y68" s="95"/>
      <c r="Z68" s="277"/>
      <c r="AA68" s="277"/>
      <c r="AB68" s="277"/>
      <c r="AC68" s="418"/>
    </row>
    <row r="69" spans="2:29" ht="23.1" customHeight="1">
      <c r="B69" s="10">
        <f t="shared" si="0"/>
        <v>64</v>
      </c>
      <c r="C69" s="274"/>
      <c r="D69" s="94"/>
      <c r="E69" s="95"/>
      <c r="F69" s="415"/>
      <c r="G69" s="94"/>
      <c r="H69" s="93"/>
      <c r="I69" s="93"/>
      <c r="J69" s="94"/>
      <c r="K69" s="94"/>
      <c r="L69" s="94"/>
      <c r="M69" s="94"/>
      <c r="N69" s="281"/>
      <c r="O69" s="92"/>
      <c r="P69" s="92"/>
      <c r="Q69" s="92"/>
      <c r="R69" s="92"/>
      <c r="S69" s="92"/>
      <c r="T69" s="92"/>
      <c r="U69" s="92"/>
      <c r="V69" s="277"/>
      <c r="W69" s="277"/>
      <c r="X69" s="277"/>
      <c r="Y69" s="95"/>
      <c r="Z69" s="277"/>
      <c r="AA69" s="277"/>
      <c r="AB69" s="277"/>
      <c r="AC69" s="418"/>
    </row>
    <row r="70" spans="2:29" ht="23.1" customHeight="1">
      <c r="B70" s="10">
        <f t="shared" si="0"/>
        <v>65</v>
      </c>
      <c r="C70" s="274"/>
      <c r="D70" s="94"/>
      <c r="E70" s="95"/>
      <c r="F70" s="415"/>
      <c r="G70" s="94"/>
      <c r="H70" s="93"/>
      <c r="I70" s="93"/>
      <c r="J70" s="94"/>
      <c r="K70" s="94"/>
      <c r="L70" s="94"/>
      <c r="M70" s="94"/>
      <c r="N70" s="281"/>
      <c r="O70" s="92"/>
      <c r="P70" s="92"/>
      <c r="Q70" s="92"/>
      <c r="R70" s="92"/>
      <c r="S70" s="92"/>
      <c r="T70" s="92"/>
      <c r="U70" s="92"/>
      <c r="V70" s="277"/>
      <c r="W70" s="277"/>
      <c r="X70" s="277"/>
      <c r="Y70" s="95"/>
      <c r="Z70" s="277"/>
      <c r="AA70" s="277"/>
      <c r="AB70" s="277"/>
      <c r="AC70" s="418"/>
    </row>
    <row r="71" spans="2:29" ht="23.1" customHeight="1">
      <c r="B71" s="10">
        <f t="shared" si="0"/>
        <v>66</v>
      </c>
      <c r="C71" s="274"/>
      <c r="D71" s="94"/>
      <c r="E71" s="95"/>
      <c r="F71" s="415"/>
      <c r="G71" s="94"/>
      <c r="H71" s="93"/>
      <c r="I71" s="93"/>
      <c r="J71" s="94"/>
      <c r="K71" s="94"/>
      <c r="L71" s="94"/>
      <c r="M71" s="94"/>
      <c r="N71" s="281"/>
      <c r="O71" s="92"/>
      <c r="P71" s="92"/>
      <c r="Q71" s="92"/>
      <c r="R71" s="92"/>
      <c r="S71" s="92"/>
      <c r="T71" s="92"/>
      <c r="U71" s="92"/>
      <c r="V71" s="277"/>
      <c r="W71" s="277"/>
      <c r="X71" s="277"/>
      <c r="Y71" s="95"/>
      <c r="Z71" s="277"/>
      <c r="AA71" s="277"/>
      <c r="AB71" s="277"/>
      <c r="AC71" s="418"/>
    </row>
    <row r="72" spans="2:29" ht="23.1" customHeight="1">
      <c r="B72" s="10">
        <f t="shared" ref="B72:B135" si="1">B71+1</f>
        <v>67</v>
      </c>
      <c r="C72" s="274"/>
      <c r="D72" s="94"/>
      <c r="E72" s="95"/>
      <c r="F72" s="415"/>
      <c r="G72" s="94"/>
      <c r="H72" s="93"/>
      <c r="I72" s="93"/>
      <c r="J72" s="94"/>
      <c r="K72" s="94"/>
      <c r="L72" s="94"/>
      <c r="M72" s="94"/>
      <c r="N72" s="281"/>
      <c r="O72" s="92"/>
      <c r="P72" s="92"/>
      <c r="Q72" s="92"/>
      <c r="R72" s="92"/>
      <c r="S72" s="92"/>
      <c r="T72" s="92"/>
      <c r="U72" s="92"/>
      <c r="V72" s="277"/>
      <c r="W72" s="277"/>
      <c r="X72" s="277"/>
      <c r="Y72" s="95"/>
      <c r="Z72" s="277"/>
      <c r="AA72" s="277"/>
      <c r="AB72" s="277"/>
      <c r="AC72" s="418"/>
    </row>
    <row r="73" spans="2:29" ht="23.1" customHeight="1">
      <c r="B73" s="10">
        <f t="shared" si="1"/>
        <v>68</v>
      </c>
      <c r="C73" s="274"/>
      <c r="D73" s="94"/>
      <c r="E73" s="95"/>
      <c r="F73" s="415"/>
      <c r="G73" s="94"/>
      <c r="H73" s="93"/>
      <c r="I73" s="93"/>
      <c r="J73" s="94"/>
      <c r="K73" s="94"/>
      <c r="L73" s="94"/>
      <c r="M73" s="94"/>
      <c r="N73" s="281"/>
      <c r="O73" s="92"/>
      <c r="P73" s="92"/>
      <c r="Q73" s="92"/>
      <c r="R73" s="92"/>
      <c r="S73" s="92"/>
      <c r="T73" s="92"/>
      <c r="U73" s="92"/>
      <c r="V73" s="277"/>
      <c r="W73" s="277"/>
      <c r="X73" s="277"/>
      <c r="Y73" s="95"/>
      <c r="Z73" s="277"/>
      <c r="AA73" s="277"/>
      <c r="AB73" s="277"/>
      <c r="AC73" s="418"/>
    </row>
    <row r="74" spans="2:29" ht="23.1" customHeight="1">
      <c r="B74" s="10">
        <f t="shared" si="1"/>
        <v>69</v>
      </c>
      <c r="C74" s="274"/>
      <c r="D74" s="94"/>
      <c r="E74" s="95"/>
      <c r="F74" s="415"/>
      <c r="G74" s="94"/>
      <c r="H74" s="93"/>
      <c r="I74" s="93"/>
      <c r="J74" s="94"/>
      <c r="K74" s="94"/>
      <c r="L74" s="94"/>
      <c r="M74" s="94"/>
      <c r="N74" s="281"/>
      <c r="O74" s="92"/>
      <c r="P74" s="92"/>
      <c r="Q74" s="92"/>
      <c r="R74" s="92"/>
      <c r="S74" s="92"/>
      <c r="T74" s="92"/>
      <c r="U74" s="92"/>
      <c r="V74" s="277"/>
      <c r="W74" s="277"/>
      <c r="X74" s="277"/>
      <c r="Y74" s="95"/>
      <c r="Z74" s="277"/>
      <c r="AA74" s="277"/>
      <c r="AB74" s="277"/>
      <c r="AC74" s="418"/>
    </row>
    <row r="75" spans="2:29" ht="23.1" customHeight="1">
      <c r="B75" s="10">
        <f t="shared" si="1"/>
        <v>70</v>
      </c>
      <c r="C75" s="274"/>
      <c r="D75" s="94"/>
      <c r="E75" s="95"/>
      <c r="F75" s="415"/>
      <c r="G75" s="94"/>
      <c r="H75" s="93"/>
      <c r="I75" s="93"/>
      <c r="J75" s="94"/>
      <c r="K75" s="94"/>
      <c r="L75" s="94"/>
      <c r="M75" s="94"/>
      <c r="N75" s="281"/>
      <c r="O75" s="92"/>
      <c r="P75" s="92"/>
      <c r="Q75" s="92"/>
      <c r="R75" s="92"/>
      <c r="S75" s="92"/>
      <c r="T75" s="92"/>
      <c r="U75" s="92"/>
      <c r="V75" s="277"/>
      <c r="W75" s="277"/>
      <c r="X75" s="277"/>
      <c r="Y75" s="95"/>
      <c r="Z75" s="277"/>
      <c r="AA75" s="277"/>
      <c r="AB75" s="277"/>
      <c r="AC75" s="418"/>
    </row>
    <row r="76" spans="2:29" ht="23.1" customHeight="1">
      <c r="B76" s="10">
        <f t="shared" si="1"/>
        <v>71</v>
      </c>
      <c r="C76" s="274"/>
      <c r="D76" s="94"/>
      <c r="E76" s="95"/>
      <c r="F76" s="415"/>
      <c r="G76" s="94"/>
      <c r="H76" s="93"/>
      <c r="I76" s="93"/>
      <c r="J76" s="94"/>
      <c r="K76" s="94"/>
      <c r="L76" s="94"/>
      <c r="M76" s="94"/>
      <c r="N76" s="281"/>
      <c r="O76" s="92"/>
      <c r="P76" s="92"/>
      <c r="Q76" s="92"/>
      <c r="R76" s="92"/>
      <c r="S76" s="92"/>
      <c r="T76" s="92"/>
      <c r="U76" s="92"/>
      <c r="V76" s="277"/>
      <c r="W76" s="277"/>
      <c r="X76" s="277"/>
      <c r="Y76" s="95"/>
      <c r="Z76" s="277"/>
      <c r="AA76" s="277"/>
      <c r="AB76" s="277"/>
      <c r="AC76" s="418"/>
    </row>
    <row r="77" spans="2:29" ht="23.1" customHeight="1">
      <c r="B77" s="10">
        <f t="shared" si="1"/>
        <v>72</v>
      </c>
      <c r="C77" s="274"/>
      <c r="D77" s="94"/>
      <c r="E77" s="95"/>
      <c r="F77" s="415"/>
      <c r="G77" s="94"/>
      <c r="H77" s="93"/>
      <c r="I77" s="93"/>
      <c r="J77" s="94"/>
      <c r="K77" s="94"/>
      <c r="L77" s="94"/>
      <c r="M77" s="94"/>
      <c r="N77" s="281"/>
      <c r="O77" s="92"/>
      <c r="P77" s="92"/>
      <c r="Q77" s="92"/>
      <c r="R77" s="92"/>
      <c r="S77" s="92"/>
      <c r="T77" s="92"/>
      <c r="U77" s="92"/>
      <c r="V77" s="277"/>
      <c r="W77" s="277"/>
      <c r="X77" s="277"/>
      <c r="Y77" s="95"/>
      <c r="Z77" s="277"/>
      <c r="AA77" s="277"/>
      <c r="AB77" s="277"/>
      <c r="AC77" s="418"/>
    </row>
    <row r="78" spans="2:29" ht="23.1" customHeight="1">
      <c r="B78" s="10">
        <f t="shared" si="1"/>
        <v>73</v>
      </c>
      <c r="C78" s="274"/>
      <c r="D78" s="94"/>
      <c r="E78" s="95"/>
      <c r="F78" s="415"/>
      <c r="G78" s="94"/>
      <c r="H78" s="93"/>
      <c r="I78" s="93"/>
      <c r="J78" s="94"/>
      <c r="K78" s="94"/>
      <c r="L78" s="94"/>
      <c r="M78" s="94"/>
      <c r="N78" s="281"/>
      <c r="O78" s="92"/>
      <c r="P78" s="92"/>
      <c r="Q78" s="92"/>
      <c r="R78" s="92"/>
      <c r="S78" s="92"/>
      <c r="T78" s="92"/>
      <c r="U78" s="92"/>
      <c r="V78" s="277"/>
      <c r="W78" s="277"/>
      <c r="X78" s="277"/>
      <c r="Y78" s="95"/>
      <c r="Z78" s="277"/>
      <c r="AA78" s="277"/>
      <c r="AB78" s="277"/>
      <c r="AC78" s="418"/>
    </row>
    <row r="79" spans="2:29" ht="23.1" customHeight="1">
      <c r="B79" s="10">
        <f t="shared" si="1"/>
        <v>74</v>
      </c>
      <c r="C79" s="274"/>
      <c r="D79" s="94"/>
      <c r="E79" s="95"/>
      <c r="F79" s="415"/>
      <c r="G79" s="94"/>
      <c r="H79" s="93"/>
      <c r="I79" s="93"/>
      <c r="J79" s="94"/>
      <c r="K79" s="94"/>
      <c r="L79" s="94"/>
      <c r="M79" s="94"/>
      <c r="N79" s="281"/>
      <c r="O79" s="92"/>
      <c r="P79" s="92"/>
      <c r="Q79" s="92"/>
      <c r="R79" s="92"/>
      <c r="S79" s="92"/>
      <c r="T79" s="92"/>
      <c r="U79" s="92"/>
      <c r="V79" s="277"/>
      <c r="W79" s="277"/>
      <c r="X79" s="277"/>
      <c r="Y79" s="95"/>
      <c r="Z79" s="277"/>
      <c r="AA79" s="277"/>
      <c r="AB79" s="277"/>
      <c r="AC79" s="418"/>
    </row>
    <row r="80" spans="2:29" ht="23.1" customHeight="1">
      <c r="B80" s="10">
        <f t="shared" si="1"/>
        <v>75</v>
      </c>
      <c r="C80" s="274"/>
      <c r="D80" s="94"/>
      <c r="E80" s="95"/>
      <c r="F80" s="415"/>
      <c r="G80" s="94"/>
      <c r="H80" s="93"/>
      <c r="I80" s="93"/>
      <c r="J80" s="94"/>
      <c r="K80" s="94"/>
      <c r="L80" s="94"/>
      <c r="M80" s="94"/>
      <c r="N80" s="281"/>
      <c r="O80" s="92"/>
      <c r="P80" s="92"/>
      <c r="Q80" s="92"/>
      <c r="R80" s="92"/>
      <c r="S80" s="92"/>
      <c r="T80" s="92"/>
      <c r="U80" s="92"/>
      <c r="V80" s="277"/>
      <c r="W80" s="277"/>
      <c r="X80" s="277"/>
      <c r="Y80" s="95"/>
      <c r="Z80" s="277"/>
      <c r="AA80" s="277"/>
      <c r="AB80" s="277"/>
      <c r="AC80" s="418"/>
    </row>
    <row r="81" spans="2:29" ht="23.1" customHeight="1">
      <c r="B81" s="10">
        <f t="shared" si="1"/>
        <v>76</v>
      </c>
      <c r="C81" s="274"/>
      <c r="D81" s="94"/>
      <c r="E81" s="95"/>
      <c r="F81" s="415"/>
      <c r="G81" s="94"/>
      <c r="H81" s="93"/>
      <c r="I81" s="93"/>
      <c r="J81" s="94"/>
      <c r="K81" s="94"/>
      <c r="L81" s="94"/>
      <c r="M81" s="94"/>
      <c r="N81" s="281"/>
      <c r="O81" s="92"/>
      <c r="P81" s="92"/>
      <c r="Q81" s="92"/>
      <c r="R81" s="92"/>
      <c r="S81" s="92"/>
      <c r="T81" s="92"/>
      <c r="U81" s="92"/>
      <c r="V81" s="277"/>
      <c r="W81" s="277"/>
      <c r="X81" s="277"/>
      <c r="Y81" s="95"/>
      <c r="Z81" s="277"/>
      <c r="AA81" s="277"/>
      <c r="AB81" s="277"/>
      <c r="AC81" s="418"/>
    </row>
    <row r="82" spans="2:29" ht="23.1" customHeight="1">
      <c r="B82" s="10">
        <f t="shared" si="1"/>
        <v>77</v>
      </c>
      <c r="C82" s="274"/>
      <c r="D82" s="94"/>
      <c r="E82" s="95"/>
      <c r="F82" s="415"/>
      <c r="G82" s="94"/>
      <c r="H82" s="93"/>
      <c r="I82" s="93"/>
      <c r="J82" s="94"/>
      <c r="K82" s="94"/>
      <c r="L82" s="94"/>
      <c r="M82" s="94"/>
      <c r="N82" s="281"/>
      <c r="O82" s="92"/>
      <c r="P82" s="92"/>
      <c r="Q82" s="92"/>
      <c r="R82" s="92"/>
      <c r="S82" s="92"/>
      <c r="T82" s="92"/>
      <c r="U82" s="92"/>
      <c r="V82" s="277"/>
      <c r="W82" s="277"/>
      <c r="X82" s="277"/>
      <c r="Y82" s="95"/>
      <c r="Z82" s="277"/>
      <c r="AA82" s="277"/>
      <c r="AB82" s="277"/>
      <c r="AC82" s="418"/>
    </row>
    <row r="83" spans="2:29" ht="23.1" customHeight="1">
      <c r="B83" s="10">
        <f t="shared" si="1"/>
        <v>78</v>
      </c>
      <c r="C83" s="274"/>
      <c r="D83" s="94"/>
      <c r="E83" s="95"/>
      <c r="F83" s="415"/>
      <c r="G83" s="94"/>
      <c r="H83" s="93"/>
      <c r="I83" s="93"/>
      <c r="J83" s="94"/>
      <c r="K83" s="94"/>
      <c r="L83" s="94"/>
      <c r="M83" s="94"/>
      <c r="N83" s="281"/>
      <c r="O83" s="92"/>
      <c r="P83" s="92"/>
      <c r="Q83" s="92"/>
      <c r="R83" s="92"/>
      <c r="S83" s="92"/>
      <c r="T83" s="92"/>
      <c r="U83" s="92"/>
      <c r="V83" s="277"/>
      <c r="W83" s="277"/>
      <c r="X83" s="277"/>
      <c r="Y83" s="95"/>
      <c r="Z83" s="277"/>
      <c r="AA83" s="277"/>
      <c r="AB83" s="277"/>
      <c r="AC83" s="418"/>
    </row>
    <row r="84" spans="2:29" ht="23.1" customHeight="1">
      <c r="B84" s="10">
        <f t="shared" si="1"/>
        <v>79</v>
      </c>
      <c r="C84" s="274"/>
      <c r="D84" s="94"/>
      <c r="E84" s="95"/>
      <c r="F84" s="415"/>
      <c r="G84" s="94"/>
      <c r="H84" s="93"/>
      <c r="I84" s="93"/>
      <c r="J84" s="94"/>
      <c r="K84" s="94"/>
      <c r="L84" s="94"/>
      <c r="M84" s="94"/>
      <c r="N84" s="281"/>
      <c r="O84" s="92"/>
      <c r="P84" s="92"/>
      <c r="Q84" s="92"/>
      <c r="R84" s="92"/>
      <c r="S84" s="92"/>
      <c r="T84" s="92"/>
      <c r="U84" s="92"/>
      <c r="V84" s="277"/>
      <c r="W84" s="277"/>
      <c r="X84" s="277"/>
      <c r="Y84" s="95"/>
      <c r="Z84" s="277"/>
      <c r="AA84" s="277"/>
      <c r="AB84" s="277"/>
      <c r="AC84" s="418"/>
    </row>
    <row r="85" spans="2:29" ht="23.1" customHeight="1">
      <c r="B85" s="10">
        <f t="shared" si="1"/>
        <v>80</v>
      </c>
      <c r="C85" s="274"/>
      <c r="D85" s="94"/>
      <c r="E85" s="95"/>
      <c r="F85" s="415"/>
      <c r="G85" s="94"/>
      <c r="H85" s="93"/>
      <c r="I85" s="93"/>
      <c r="J85" s="94"/>
      <c r="K85" s="94"/>
      <c r="L85" s="94"/>
      <c r="M85" s="94"/>
      <c r="N85" s="281"/>
      <c r="O85" s="92"/>
      <c r="P85" s="92"/>
      <c r="Q85" s="92"/>
      <c r="R85" s="92"/>
      <c r="S85" s="92"/>
      <c r="T85" s="92"/>
      <c r="U85" s="92"/>
      <c r="V85" s="277"/>
      <c r="W85" s="277"/>
      <c r="X85" s="277"/>
      <c r="Y85" s="95"/>
      <c r="Z85" s="277"/>
      <c r="AA85" s="277"/>
      <c r="AB85" s="277"/>
      <c r="AC85" s="418"/>
    </row>
    <row r="86" spans="2:29" ht="23.1" customHeight="1">
      <c r="B86" s="10">
        <f t="shared" si="1"/>
        <v>81</v>
      </c>
      <c r="C86" s="274"/>
      <c r="D86" s="94"/>
      <c r="E86" s="95"/>
      <c r="F86" s="415"/>
      <c r="G86" s="94"/>
      <c r="H86" s="93"/>
      <c r="I86" s="93"/>
      <c r="J86" s="94"/>
      <c r="K86" s="94"/>
      <c r="L86" s="94"/>
      <c r="M86" s="94"/>
      <c r="N86" s="281"/>
      <c r="O86" s="92"/>
      <c r="P86" s="92"/>
      <c r="Q86" s="92"/>
      <c r="R86" s="92"/>
      <c r="S86" s="92"/>
      <c r="T86" s="92"/>
      <c r="U86" s="92"/>
      <c r="V86" s="277"/>
      <c r="W86" s="277"/>
      <c r="X86" s="277"/>
      <c r="Y86" s="95"/>
      <c r="Z86" s="277"/>
      <c r="AA86" s="277"/>
      <c r="AB86" s="277"/>
      <c r="AC86" s="418"/>
    </row>
    <row r="87" spans="2:29" ht="23.1" customHeight="1">
      <c r="B87" s="10">
        <f t="shared" si="1"/>
        <v>82</v>
      </c>
      <c r="C87" s="274"/>
      <c r="D87" s="94"/>
      <c r="E87" s="95"/>
      <c r="F87" s="415"/>
      <c r="G87" s="94"/>
      <c r="H87" s="93"/>
      <c r="I87" s="93"/>
      <c r="J87" s="94"/>
      <c r="K87" s="94"/>
      <c r="L87" s="94"/>
      <c r="M87" s="94"/>
      <c r="N87" s="281"/>
      <c r="O87" s="92"/>
      <c r="P87" s="92"/>
      <c r="Q87" s="92"/>
      <c r="R87" s="92"/>
      <c r="S87" s="92"/>
      <c r="T87" s="92"/>
      <c r="U87" s="92"/>
      <c r="V87" s="277"/>
      <c r="W87" s="277"/>
      <c r="X87" s="277"/>
      <c r="Y87" s="95"/>
      <c r="Z87" s="277"/>
      <c r="AA87" s="277"/>
      <c r="AB87" s="277"/>
      <c r="AC87" s="418"/>
    </row>
    <row r="88" spans="2:29" ht="23.1" customHeight="1">
      <c r="B88" s="10">
        <f t="shared" si="1"/>
        <v>83</v>
      </c>
      <c r="C88" s="274"/>
      <c r="D88" s="94"/>
      <c r="E88" s="95"/>
      <c r="F88" s="415"/>
      <c r="G88" s="94"/>
      <c r="H88" s="93"/>
      <c r="I88" s="93"/>
      <c r="J88" s="94"/>
      <c r="K88" s="94"/>
      <c r="L88" s="94"/>
      <c r="M88" s="94"/>
      <c r="N88" s="281"/>
      <c r="O88" s="92"/>
      <c r="P88" s="92"/>
      <c r="Q88" s="92"/>
      <c r="R88" s="92"/>
      <c r="S88" s="92"/>
      <c r="T88" s="92"/>
      <c r="U88" s="92"/>
      <c r="V88" s="277"/>
      <c r="W88" s="277"/>
      <c r="X88" s="277"/>
      <c r="Y88" s="95"/>
      <c r="Z88" s="277"/>
      <c r="AA88" s="277"/>
      <c r="AB88" s="277"/>
      <c r="AC88" s="418"/>
    </row>
    <row r="89" spans="2:29" ht="23.1" customHeight="1">
      <c r="B89" s="10">
        <f t="shared" si="1"/>
        <v>84</v>
      </c>
      <c r="C89" s="274"/>
      <c r="D89" s="94"/>
      <c r="E89" s="95"/>
      <c r="F89" s="415"/>
      <c r="G89" s="94"/>
      <c r="H89" s="93"/>
      <c r="I89" s="93"/>
      <c r="J89" s="94"/>
      <c r="K89" s="94"/>
      <c r="L89" s="94"/>
      <c r="M89" s="94"/>
      <c r="N89" s="281"/>
      <c r="O89" s="92"/>
      <c r="P89" s="92"/>
      <c r="Q89" s="92"/>
      <c r="R89" s="92"/>
      <c r="S89" s="92"/>
      <c r="T89" s="92"/>
      <c r="U89" s="92"/>
      <c r="V89" s="277"/>
      <c r="W89" s="277"/>
      <c r="X89" s="277"/>
      <c r="Y89" s="95"/>
      <c r="Z89" s="277"/>
      <c r="AA89" s="277"/>
      <c r="AB89" s="277"/>
      <c r="AC89" s="418"/>
    </row>
    <row r="90" spans="2:29" ht="23.1" customHeight="1">
      <c r="B90" s="10">
        <f t="shared" si="1"/>
        <v>85</v>
      </c>
      <c r="C90" s="274"/>
      <c r="D90" s="94"/>
      <c r="E90" s="95"/>
      <c r="F90" s="415"/>
      <c r="G90" s="94"/>
      <c r="H90" s="93"/>
      <c r="I90" s="93"/>
      <c r="J90" s="94"/>
      <c r="K90" s="94"/>
      <c r="L90" s="94"/>
      <c r="M90" s="94"/>
      <c r="N90" s="281"/>
      <c r="O90" s="92"/>
      <c r="P90" s="92"/>
      <c r="Q90" s="92"/>
      <c r="R90" s="92"/>
      <c r="S90" s="92"/>
      <c r="T90" s="92"/>
      <c r="U90" s="92"/>
      <c r="V90" s="277"/>
      <c r="W90" s="277"/>
      <c r="X90" s="277"/>
      <c r="Y90" s="95"/>
      <c r="Z90" s="277"/>
      <c r="AA90" s="277"/>
      <c r="AB90" s="277"/>
      <c r="AC90" s="418"/>
    </row>
    <row r="91" spans="2:29" ht="23.1" customHeight="1">
      <c r="B91" s="10">
        <f t="shared" si="1"/>
        <v>86</v>
      </c>
      <c r="C91" s="274"/>
      <c r="D91" s="94"/>
      <c r="E91" s="95"/>
      <c r="F91" s="415"/>
      <c r="G91" s="94"/>
      <c r="H91" s="93"/>
      <c r="I91" s="93"/>
      <c r="J91" s="94"/>
      <c r="K91" s="94"/>
      <c r="L91" s="94"/>
      <c r="M91" s="94"/>
      <c r="N91" s="281"/>
      <c r="O91" s="92"/>
      <c r="P91" s="92"/>
      <c r="Q91" s="92"/>
      <c r="R91" s="92"/>
      <c r="S91" s="92"/>
      <c r="T91" s="92"/>
      <c r="U91" s="92"/>
      <c r="V91" s="277"/>
      <c r="W91" s="277"/>
      <c r="X91" s="277"/>
      <c r="Y91" s="95"/>
      <c r="Z91" s="277"/>
      <c r="AA91" s="277"/>
      <c r="AB91" s="277"/>
      <c r="AC91" s="418"/>
    </row>
    <row r="92" spans="2:29" ht="23.1" customHeight="1">
      <c r="B92" s="10">
        <f t="shared" si="1"/>
        <v>87</v>
      </c>
      <c r="C92" s="274"/>
      <c r="D92" s="94"/>
      <c r="E92" s="95"/>
      <c r="F92" s="415"/>
      <c r="G92" s="94"/>
      <c r="H92" s="93"/>
      <c r="I92" s="93"/>
      <c r="J92" s="94"/>
      <c r="K92" s="94"/>
      <c r="L92" s="94"/>
      <c r="M92" s="94"/>
      <c r="N92" s="281"/>
      <c r="O92" s="92"/>
      <c r="P92" s="92"/>
      <c r="Q92" s="92"/>
      <c r="R92" s="92"/>
      <c r="S92" s="92"/>
      <c r="T92" s="92"/>
      <c r="U92" s="92"/>
      <c r="V92" s="277"/>
      <c r="W92" s="277"/>
      <c r="X92" s="277"/>
      <c r="Y92" s="95"/>
      <c r="Z92" s="277"/>
      <c r="AA92" s="277"/>
      <c r="AB92" s="277"/>
      <c r="AC92" s="418"/>
    </row>
    <row r="93" spans="2:29" ht="23.1" customHeight="1">
      <c r="B93" s="10">
        <f t="shared" si="1"/>
        <v>88</v>
      </c>
      <c r="C93" s="274"/>
      <c r="D93" s="94"/>
      <c r="E93" s="95"/>
      <c r="F93" s="415"/>
      <c r="G93" s="94"/>
      <c r="H93" s="93"/>
      <c r="I93" s="93"/>
      <c r="J93" s="94"/>
      <c r="K93" s="94"/>
      <c r="L93" s="94"/>
      <c r="M93" s="94"/>
      <c r="N93" s="281"/>
      <c r="O93" s="92"/>
      <c r="P93" s="92"/>
      <c r="Q93" s="92"/>
      <c r="R93" s="92"/>
      <c r="S93" s="92"/>
      <c r="T93" s="92"/>
      <c r="U93" s="92"/>
      <c r="V93" s="277"/>
      <c r="W93" s="277"/>
      <c r="X93" s="277"/>
      <c r="Y93" s="95"/>
      <c r="Z93" s="277"/>
      <c r="AA93" s="277"/>
      <c r="AB93" s="277"/>
      <c r="AC93" s="418"/>
    </row>
    <row r="94" spans="2:29" ht="23.1" customHeight="1">
      <c r="B94" s="10">
        <f t="shared" si="1"/>
        <v>89</v>
      </c>
      <c r="C94" s="274"/>
      <c r="D94" s="94"/>
      <c r="E94" s="95"/>
      <c r="F94" s="415"/>
      <c r="G94" s="94"/>
      <c r="H94" s="93"/>
      <c r="I94" s="93"/>
      <c r="J94" s="94"/>
      <c r="K94" s="94"/>
      <c r="L94" s="94"/>
      <c r="M94" s="94"/>
      <c r="N94" s="281"/>
      <c r="O94" s="92"/>
      <c r="P94" s="92"/>
      <c r="Q94" s="92"/>
      <c r="R94" s="92"/>
      <c r="S94" s="92"/>
      <c r="T94" s="92"/>
      <c r="U94" s="92"/>
      <c r="V94" s="277"/>
      <c r="W94" s="277"/>
      <c r="X94" s="277"/>
      <c r="Y94" s="95"/>
      <c r="Z94" s="277"/>
      <c r="AA94" s="277"/>
      <c r="AB94" s="277"/>
      <c r="AC94" s="418"/>
    </row>
    <row r="95" spans="2:29" ht="23.1" customHeight="1">
      <c r="B95" s="10">
        <f t="shared" si="1"/>
        <v>90</v>
      </c>
      <c r="C95" s="274"/>
      <c r="D95" s="94"/>
      <c r="E95" s="95"/>
      <c r="F95" s="415"/>
      <c r="G95" s="94"/>
      <c r="H95" s="93"/>
      <c r="I95" s="93"/>
      <c r="J95" s="94"/>
      <c r="K95" s="94"/>
      <c r="L95" s="94"/>
      <c r="M95" s="94"/>
      <c r="N95" s="281"/>
      <c r="O95" s="92"/>
      <c r="P95" s="92"/>
      <c r="Q95" s="92"/>
      <c r="R95" s="92"/>
      <c r="S95" s="92"/>
      <c r="T95" s="92"/>
      <c r="U95" s="92"/>
      <c r="V95" s="277"/>
      <c r="W95" s="277"/>
      <c r="X95" s="277"/>
      <c r="Y95" s="95"/>
      <c r="Z95" s="277"/>
      <c r="AA95" s="277"/>
      <c r="AB95" s="277"/>
      <c r="AC95" s="418"/>
    </row>
    <row r="96" spans="2:29" ht="23.1" customHeight="1">
      <c r="B96" s="10">
        <f t="shared" si="1"/>
        <v>91</v>
      </c>
      <c r="C96" s="274"/>
      <c r="D96" s="94"/>
      <c r="E96" s="95"/>
      <c r="F96" s="415"/>
      <c r="G96" s="94"/>
      <c r="H96" s="93"/>
      <c r="I96" s="93"/>
      <c r="J96" s="94"/>
      <c r="K96" s="94"/>
      <c r="L96" s="94"/>
      <c r="M96" s="94"/>
      <c r="N96" s="281"/>
      <c r="O96" s="92"/>
      <c r="P96" s="92"/>
      <c r="Q96" s="92"/>
      <c r="R96" s="92"/>
      <c r="S96" s="92"/>
      <c r="T96" s="92"/>
      <c r="U96" s="92"/>
      <c r="V96" s="277"/>
      <c r="W96" s="277"/>
      <c r="X96" s="277"/>
      <c r="Y96" s="95"/>
      <c r="Z96" s="277"/>
      <c r="AA96" s="277"/>
      <c r="AB96" s="277"/>
      <c r="AC96" s="418"/>
    </row>
    <row r="97" spans="2:29" ht="23.1" customHeight="1">
      <c r="B97" s="10">
        <f t="shared" si="1"/>
        <v>92</v>
      </c>
      <c r="C97" s="274"/>
      <c r="D97" s="94"/>
      <c r="E97" s="95"/>
      <c r="F97" s="415"/>
      <c r="G97" s="94"/>
      <c r="H97" s="93"/>
      <c r="I97" s="93"/>
      <c r="J97" s="94"/>
      <c r="K97" s="94"/>
      <c r="L97" s="94"/>
      <c r="M97" s="94"/>
      <c r="N97" s="281"/>
      <c r="O97" s="92"/>
      <c r="P97" s="92"/>
      <c r="Q97" s="92"/>
      <c r="R97" s="92"/>
      <c r="S97" s="92"/>
      <c r="T97" s="92"/>
      <c r="U97" s="92"/>
      <c r="V97" s="277"/>
      <c r="W97" s="277"/>
      <c r="X97" s="277"/>
      <c r="Y97" s="95"/>
      <c r="Z97" s="277"/>
      <c r="AA97" s="277"/>
      <c r="AB97" s="277"/>
      <c r="AC97" s="418"/>
    </row>
    <row r="98" spans="2:29" ht="23.1" customHeight="1">
      <c r="B98" s="10">
        <f t="shared" si="1"/>
        <v>93</v>
      </c>
      <c r="C98" s="274"/>
      <c r="D98" s="94"/>
      <c r="E98" s="95"/>
      <c r="F98" s="415"/>
      <c r="G98" s="94"/>
      <c r="H98" s="93"/>
      <c r="I98" s="93"/>
      <c r="J98" s="94"/>
      <c r="K98" s="94"/>
      <c r="L98" s="94"/>
      <c r="M98" s="94"/>
      <c r="N98" s="281"/>
      <c r="O98" s="92"/>
      <c r="P98" s="92"/>
      <c r="Q98" s="92"/>
      <c r="R98" s="92"/>
      <c r="S98" s="92"/>
      <c r="T98" s="92"/>
      <c r="U98" s="92"/>
      <c r="V98" s="277"/>
      <c r="W98" s="277"/>
      <c r="X98" s="277"/>
      <c r="Y98" s="95"/>
      <c r="Z98" s="277"/>
      <c r="AA98" s="277"/>
      <c r="AB98" s="277"/>
      <c r="AC98" s="418"/>
    </row>
    <row r="99" spans="2:29" ht="23.1" customHeight="1">
      <c r="B99" s="10">
        <f t="shared" si="1"/>
        <v>94</v>
      </c>
      <c r="C99" s="274"/>
      <c r="D99" s="94"/>
      <c r="E99" s="95"/>
      <c r="F99" s="415"/>
      <c r="G99" s="94"/>
      <c r="H99" s="93"/>
      <c r="I99" s="93"/>
      <c r="J99" s="94"/>
      <c r="K99" s="94"/>
      <c r="L99" s="94"/>
      <c r="M99" s="94"/>
      <c r="N99" s="281"/>
      <c r="O99" s="92"/>
      <c r="P99" s="92"/>
      <c r="Q99" s="92"/>
      <c r="R99" s="92"/>
      <c r="S99" s="92"/>
      <c r="T99" s="92"/>
      <c r="U99" s="92"/>
      <c r="V99" s="277"/>
      <c r="W99" s="277"/>
      <c r="X99" s="277"/>
      <c r="Y99" s="95"/>
      <c r="Z99" s="277"/>
      <c r="AA99" s="277"/>
      <c r="AB99" s="277"/>
      <c r="AC99" s="418"/>
    </row>
    <row r="100" spans="2:29" ht="23.1" customHeight="1">
      <c r="B100" s="10">
        <f t="shared" si="1"/>
        <v>95</v>
      </c>
      <c r="C100" s="274"/>
      <c r="D100" s="94"/>
      <c r="E100" s="95"/>
      <c r="F100" s="415"/>
      <c r="G100" s="94"/>
      <c r="H100" s="93"/>
      <c r="I100" s="93"/>
      <c r="J100" s="94"/>
      <c r="K100" s="94"/>
      <c r="L100" s="94"/>
      <c r="M100" s="94"/>
      <c r="N100" s="281"/>
      <c r="O100" s="92"/>
      <c r="P100" s="92"/>
      <c r="Q100" s="92"/>
      <c r="R100" s="92"/>
      <c r="S100" s="92"/>
      <c r="T100" s="92"/>
      <c r="U100" s="92"/>
      <c r="V100" s="277"/>
      <c r="W100" s="277"/>
      <c r="X100" s="277"/>
      <c r="Y100" s="95"/>
      <c r="Z100" s="277"/>
      <c r="AA100" s="277"/>
      <c r="AB100" s="277"/>
      <c r="AC100" s="418"/>
    </row>
    <row r="101" spans="2:29" ht="23.1" customHeight="1">
      <c r="B101" s="10">
        <f t="shared" si="1"/>
        <v>96</v>
      </c>
      <c r="C101" s="274"/>
      <c r="D101" s="94"/>
      <c r="E101" s="95"/>
      <c r="F101" s="415"/>
      <c r="G101" s="94"/>
      <c r="H101" s="93"/>
      <c r="I101" s="93"/>
      <c r="J101" s="94"/>
      <c r="K101" s="94"/>
      <c r="L101" s="94"/>
      <c r="M101" s="94"/>
      <c r="N101" s="281"/>
      <c r="O101" s="92"/>
      <c r="P101" s="92"/>
      <c r="Q101" s="92"/>
      <c r="R101" s="92"/>
      <c r="S101" s="92"/>
      <c r="T101" s="92"/>
      <c r="U101" s="92"/>
      <c r="V101" s="277"/>
      <c r="W101" s="277"/>
      <c r="X101" s="277"/>
      <c r="Y101" s="95"/>
      <c r="Z101" s="277"/>
      <c r="AA101" s="277"/>
      <c r="AB101" s="277"/>
      <c r="AC101" s="418"/>
    </row>
    <row r="102" spans="2:29" ht="23.1" customHeight="1">
      <c r="B102" s="10">
        <f t="shared" si="1"/>
        <v>97</v>
      </c>
      <c r="C102" s="274"/>
      <c r="D102" s="94"/>
      <c r="E102" s="95"/>
      <c r="F102" s="415"/>
      <c r="G102" s="94"/>
      <c r="H102" s="93"/>
      <c r="I102" s="93"/>
      <c r="J102" s="94"/>
      <c r="K102" s="94"/>
      <c r="L102" s="94"/>
      <c r="M102" s="94"/>
      <c r="N102" s="281"/>
      <c r="O102" s="92"/>
      <c r="P102" s="92"/>
      <c r="Q102" s="92"/>
      <c r="R102" s="92"/>
      <c r="S102" s="92"/>
      <c r="T102" s="92"/>
      <c r="U102" s="92"/>
      <c r="V102" s="277"/>
      <c r="W102" s="277"/>
      <c r="X102" s="277"/>
      <c r="Y102" s="95"/>
      <c r="Z102" s="277"/>
      <c r="AA102" s="277"/>
      <c r="AB102" s="277"/>
      <c r="AC102" s="418"/>
    </row>
    <row r="103" spans="2:29" ht="23.1" customHeight="1">
      <c r="B103" s="10">
        <f t="shared" si="1"/>
        <v>98</v>
      </c>
      <c r="C103" s="274"/>
      <c r="D103" s="94"/>
      <c r="E103" s="95"/>
      <c r="F103" s="415"/>
      <c r="G103" s="94"/>
      <c r="H103" s="93"/>
      <c r="I103" s="93"/>
      <c r="J103" s="94"/>
      <c r="K103" s="94"/>
      <c r="L103" s="94"/>
      <c r="M103" s="94"/>
      <c r="N103" s="281"/>
      <c r="O103" s="92"/>
      <c r="P103" s="92"/>
      <c r="Q103" s="92"/>
      <c r="R103" s="92"/>
      <c r="S103" s="92"/>
      <c r="T103" s="92"/>
      <c r="U103" s="92"/>
      <c r="V103" s="277"/>
      <c r="W103" s="277"/>
      <c r="X103" s="277"/>
      <c r="Y103" s="95"/>
      <c r="Z103" s="277"/>
      <c r="AA103" s="277"/>
      <c r="AB103" s="277"/>
      <c r="AC103" s="418"/>
    </row>
    <row r="104" spans="2:29" ht="23.1" customHeight="1">
      <c r="B104" s="10">
        <f t="shared" si="1"/>
        <v>99</v>
      </c>
      <c r="C104" s="274"/>
      <c r="D104" s="94"/>
      <c r="E104" s="95"/>
      <c r="F104" s="415"/>
      <c r="G104" s="94"/>
      <c r="H104" s="93"/>
      <c r="I104" s="93"/>
      <c r="J104" s="94"/>
      <c r="K104" s="94"/>
      <c r="L104" s="94"/>
      <c r="M104" s="94"/>
      <c r="N104" s="281"/>
      <c r="O104" s="92"/>
      <c r="P104" s="92"/>
      <c r="Q104" s="92"/>
      <c r="R104" s="92"/>
      <c r="S104" s="92"/>
      <c r="T104" s="92"/>
      <c r="U104" s="92"/>
      <c r="V104" s="277"/>
      <c r="W104" s="277"/>
      <c r="X104" s="277"/>
      <c r="Y104" s="95"/>
      <c r="Z104" s="277"/>
      <c r="AA104" s="277"/>
      <c r="AB104" s="277"/>
      <c r="AC104" s="418"/>
    </row>
    <row r="105" spans="2:29" ht="23.1" customHeight="1">
      <c r="B105" s="10">
        <f t="shared" si="1"/>
        <v>100</v>
      </c>
      <c r="C105" s="274"/>
      <c r="D105" s="94"/>
      <c r="E105" s="95"/>
      <c r="F105" s="415"/>
      <c r="G105" s="94"/>
      <c r="H105" s="93"/>
      <c r="I105" s="93"/>
      <c r="J105" s="94"/>
      <c r="K105" s="94"/>
      <c r="L105" s="94"/>
      <c r="M105" s="94"/>
      <c r="N105" s="281"/>
      <c r="O105" s="92"/>
      <c r="P105" s="92"/>
      <c r="Q105" s="92"/>
      <c r="R105" s="92"/>
      <c r="S105" s="92"/>
      <c r="T105" s="92"/>
      <c r="U105" s="92"/>
      <c r="V105" s="277"/>
      <c r="W105" s="277"/>
      <c r="X105" s="277"/>
      <c r="Y105" s="95"/>
      <c r="Z105" s="277"/>
      <c r="AA105" s="277"/>
      <c r="AB105" s="277"/>
      <c r="AC105" s="418"/>
    </row>
    <row r="106" spans="2:29" ht="23.1" customHeight="1">
      <c r="B106" s="10">
        <f t="shared" si="1"/>
        <v>101</v>
      </c>
      <c r="C106" s="274"/>
      <c r="D106" s="94"/>
      <c r="E106" s="95"/>
      <c r="F106" s="415"/>
      <c r="G106" s="94"/>
      <c r="H106" s="93"/>
      <c r="I106" s="93"/>
      <c r="J106" s="94"/>
      <c r="K106" s="94"/>
      <c r="L106" s="94"/>
      <c r="M106" s="94"/>
      <c r="N106" s="281"/>
      <c r="O106" s="92"/>
      <c r="P106" s="92"/>
      <c r="Q106" s="92"/>
      <c r="R106" s="92"/>
      <c r="S106" s="92"/>
      <c r="T106" s="92"/>
      <c r="U106" s="92"/>
      <c r="V106" s="277"/>
      <c r="W106" s="277"/>
      <c r="X106" s="277"/>
      <c r="Y106" s="95"/>
      <c r="Z106" s="277"/>
      <c r="AA106" s="277"/>
      <c r="AB106" s="277"/>
      <c r="AC106" s="418"/>
    </row>
    <row r="107" spans="2:29" ht="23.1" customHeight="1">
      <c r="B107" s="10">
        <f t="shared" si="1"/>
        <v>102</v>
      </c>
      <c r="C107" s="274"/>
      <c r="D107" s="94"/>
      <c r="E107" s="95"/>
      <c r="F107" s="415"/>
      <c r="G107" s="94"/>
      <c r="H107" s="93"/>
      <c r="I107" s="93"/>
      <c r="J107" s="94"/>
      <c r="K107" s="94"/>
      <c r="L107" s="94"/>
      <c r="M107" s="94"/>
      <c r="N107" s="281"/>
      <c r="O107" s="92"/>
      <c r="P107" s="92"/>
      <c r="Q107" s="92"/>
      <c r="R107" s="92"/>
      <c r="S107" s="92"/>
      <c r="T107" s="92"/>
      <c r="U107" s="92"/>
      <c r="V107" s="277"/>
      <c r="W107" s="277"/>
      <c r="X107" s="277"/>
      <c r="Y107" s="95"/>
      <c r="Z107" s="277"/>
      <c r="AA107" s="277"/>
      <c r="AB107" s="277"/>
      <c r="AC107" s="418"/>
    </row>
    <row r="108" spans="2:29" ht="23.1" customHeight="1">
      <c r="B108" s="10">
        <f t="shared" si="1"/>
        <v>103</v>
      </c>
      <c r="C108" s="274"/>
      <c r="D108" s="94"/>
      <c r="E108" s="95"/>
      <c r="F108" s="415"/>
      <c r="G108" s="94"/>
      <c r="H108" s="93"/>
      <c r="I108" s="93"/>
      <c r="J108" s="94"/>
      <c r="K108" s="94"/>
      <c r="L108" s="94"/>
      <c r="M108" s="94"/>
      <c r="N108" s="281"/>
      <c r="O108" s="92"/>
      <c r="P108" s="92"/>
      <c r="Q108" s="92"/>
      <c r="R108" s="92"/>
      <c r="S108" s="92"/>
      <c r="T108" s="92"/>
      <c r="U108" s="92"/>
      <c r="V108" s="277"/>
      <c r="W108" s="277"/>
      <c r="X108" s="277"/>
      <c r="Y108" s="95"/>
      <c r="Z108" s="277"/>
      <c r="AA108" s="277"/>
      <c r="AB108" s="277"/>
      <c r="AC108" s="418"/>
    </row>
    <row r="109" spans="2:29" ht="23.1" customHeight="1">
      <c r="B109" s="10">
        <f t="shared" si="1"/>
        <v>104</v>
      </c>
      <c r="C109" s="274"/>
      <c r="D109" s="94"/>
      <c r="E109" s="95"/>
      <c r="F109" s="415"/>
      <c r="G109" s="94"/>
      <c r="H109" s="93"/>
      <c r="I109" s="93"/>
      <c r="J109" s="94"/>
      <c r="K109" s="94"/>
      <c r="L109" s="94"/>
      <c r="M109" s="94"/>
      <c r="N109" s="281"/>
      <c r="O109" s="92"/>
      <c r="P109" s="92"/>
      <c r="Q109" s="92"/>
      <c r="R109" s="92"/>
      <c r="S109" s="92"/>
      <c r="T109" s="92"/>
      <c r="U109" s="92"/>
      <c r="V109" s="277"/>
      <c r="W109" s="277"/>
      <c r="X109" s="277"/>
      <c r="Y109" s="95"/>
      <c r="Z109" s="277"/>
      <c r="AA109" s="277"/>
      <c r="AB109" s="277"/>
      <c r="AC109" s="418"/>
    </row>
    <row r="110" spans="2:29" ht="23.1" customHeight="1">
      <c r="B110" s="10">
        <f t="shared" si="1"/>
        <v>105</v>
      </c>
      <c r="C110" s="274"/>
      <c r="D110" s="94"/>
      <c r="E110" s="95"/>
      <c r="F110" s="415"/>
      <c r="G110" s="94"/>
      <c r="H110" s="93"/>
      <c r="I110" s="93"/>
      <c r="J110" s="94"/>
      <c r="K110" s="94"/>
      <c r="L110" s="94"/>
      <c r="M110" s="94"/>
      <c r="N110" s="281"/>
      <c r="O110" s="92"/>
      <c r="P110" s="92"/>
      <c r="Q110" s="92"/>
      <c r="R110" s="92"/>
      <c r="S110" s="92"/>
      <c r="T110" s="92"/>
      <c r="U110" s="92"/>
      <c r="V110" s="277"/>
      <c r="W110" s="277"/>
      <c r="X110" s="277"/>
      <c r="Y110" s="95"/>
      <c r="Z110" s="277"/>
      <c r="AA110" s="277"/>
      <c r="AB110" s="277"/>
      <c r="AC110" s="418"/>
    </row>
    <row r="111" spans="2:29" ht="23.1" customHeight="1">
      <c r="B111" s="10">
        <f t="shared" si="1"/>
        <v>106</v>
      </c>
      <c r="C111" s="274"/>
      <c r="D111" s="94"/>
      <c r="E111" s="95"/>
      <c r="F111" s="415"/>
      <c r="G111" s="94"/>
      <c r="H111" s="93"/>
      <c r="I111" s="93"/>
      <c r="J111" s="94"/>
      <c r="K111" s="94"/>
      <c r="L111" s="94"/>
      <c r="M111" s="94"/>
      <c r="N111" s="281"/>
      <c r="O111" s="92"/>
      <c r="P111" s="92"/>
      <c r="Q111" s="92"/>
      <c r="R111" s="92"/>
      <c r="S111" s="92"/>
      <c r="T111" s="92"/>
      <c r="U111" s="92"/>
      <c r="V111" s="277"/>
      <c r="W111" s="277"/>
      <c r="X111" s="277"/>
      <c r="Y111" s="95"/>
      <c r="Z111" s="277"/>
      <c r="AA111" s="277"/>
      <c r="AB111" s="277"/>
      <c r="AC111" s="418"/>
    </row>
    <row r="112" spans="2:29" ht="23.1" customHeight="1">
      <c r="B112" s="10">
        <f t="shared" si="1"/>
        <v>107</v>
      </c>
      <c r="C112" s="274"/>
      <c r="D112" s="94"/>
      <c r="E112" s="95"/>
      <c r="F112" s="415"/>
      <c r="G112" s="94"/>
      <c r="H112" s="93"/>
      <c r="I112" s="93"/>
      <c r="J112" s="94"/>
      <c r="K112" s="94"/>
      <c r="L112" s="94"/>
      <c r="M112" s="94"/>
      <c r="N112" s="281"/>
      <c r="O112" s="92"/>
      <c r="P112" s="92"/>
      <c r="Q112" s="92"/>
      <c r="R112" s="92"/>
      <c r="S112" s="92"/>
      <c r="T112" s="92"/>
      <c r="U112" s="92"/>
      <c r="V112" s="277"/>
      <c r="W112" s="277"/>
      <c r="X112" s="277"/>
      <c r="Y112" s="95"/>
      <c r="Z112" s="277"/>
      <c r="AA112" s="277"/>
      <c r="AB112" s="277"/>
      <c r="AC112" s="418"/>
    </row>
    <row r="113" spans="2:29" ht="23.1" customHeight="1">
      <c r="B113" s="10">
        <f t="shared" si="1"/>
        <v>108</v>
      </c>
      <c r="C113" s="274"/>
      <c r="D113" s="94"/>
      <c r="E113" s="95"/>
      <c r="F113" s="415"/>
      <c r="G113" s="94"/>
      <c r="H113" s="93"/>
      <c r="I113" s="93"/>
      <c r="J113" s="94"/>
      <c r="K113" s="94"/>
      <c r="L113" s="94"/>
      <c r="M113" s="94"/>
      <c r="N113" s="281"/>
      <c r="O113" s="92"/>
      <c r="P113" s="92"/>
      <c r="Q113" s="92"/>
      <c r="R113" s="92"/>
      <c r="S113" s="92"/>
      <c r="T113" s="92"/>
      <c r="U113" s="92"/>
      <c r="V113" s="277"/>
      <c r="W113" s="277"/>
      <c r="X113" s="277"/>
      <c r="Y113" s="95"/>
      <c r="Z113" s="277"/>
      <c r="AA113" s="277"/>
      <c r="AB113" s="277"/>
      <c r="AC113" s="418"/>
    </row>
    <row r="114" spans="2:29" ht="23.1" customHeight="1">
      <c r="B114" s="10">
        <f t="shared" si="1"/>
        <v>109</v>
      </c>
      <c r="C114" s="274"/>
      <c r="D114" s="94"/>
      <c r="E114" s="95"/>
      <c r="F114" s="415"/>
      <c r="G114" s="94"/>
      <c r="H114" s="93"/>
      <c r="I114" s="93"/>
      <c r="J114" s="94"/>
      <c r="K114" s="94"/>
      <c r="L114" s="94"/>
      <c r="M114" s="94"/>
      <c r="N114" s="281"/>
      <c r="O114" s="92"/>
      <c r="P114" s="92"/>
      <c r="Q114" s="92"/>
      <c r="R114" s="92"/>
      <c r="S114" s="92"/>
      <c r="T114" s="92"/>
      <c r="U114" s="92"/>
      <c r="V114" s="277"/>
      <c r="W114" s="277"/>
      <c r="X114" s="277"/>
      <c r="Y114" s="95"/>
      <c r="Z114" s="277"/>
      <c r="AA114" s="277"/>
      <c r="AB114" s="277"/>
      <c r="AC114" s="418"/>
    </row>
    <row r="115" spans="2:29" ht="23.1" customHeight="1">
      <c r="B115" s="10">
        <f t="shared" si="1"/>
        <v>110</v>
      </c>
      <c r="C115" s="274"/>
      <c r="D115" s="94"/>
      <c r="E115" s="95"/>
      <c r="F115" s="415"/>
      <c r="G115" s="94"/>
      <c r="H115" s="93"/>
      <c r="I115" s="93"/>
      <c r="J115" s="94"/>
      <c r="K115" s="94"/>
      <c r="L115" s="94"/>
      <c r="M115" s="94"/>
      <c r="N115" s="281"/>
      <c r="O115" s="92"/>
      <c r="P115" s="92"/>
      <c r="Q115" s="92"/>
      <c r="R115" s="92"/>
      <c r="S115" s="92"/>
      <c r="T115" s="92"/>
      <c r="U115" s="92"/>
      <c r="V115" s="277"/>
      <c r="W115" s="277"/>
      <c r="X115" s="277"/>
      <c r="Y115" s="95"/>
      <c r="Z115" s="277"/>
      <c r="AA115" s="277"/>
      <c r="AB115" s="277"/>
      <c r="AC115" s="418"/>
    </row>
    <row r="116" spans="2:29" ht="23.1" customHeight="1">
      <c r="B116" s="10">
        <f t="shared" si="1"/>
        <v>111</v>
      </c>
      <c r="C116" s="274"/>
      <c r="D116" s="94"/>
      <c r="E116" s="95"/>
      <c r="F116" s="415"/>
      <c r="G116" s="94"/>
      <c r="H116" s="93"/>
      <c r="I116" s="93"/>
      <c r="J116" s="94"/>
      <c r="K116" s="94"/>
      <c r="L116" s="94"/>
      <c r="M116" s="94"/>
      <c r="N116" s="281"/>
      <c r="O116" s="92"/>
      <c r="P116" s="92"/>
      <c r="Q116" s="92"/>
      <c r="R116" s="92"/>
      <c r="S116" s="92"/>
      <c r="T116" s="92"/>
      <c r="U116" s="92"/>
      <c r="V116" s="277"/>
      <c r="W116" s="277"/>
      <c r="X116" s="277"/>
      <c r="Y116" s="95"/>
      <c r="Z116" s="277"/>
      <c r="AA116" s="277"/>
      <c r="AB116" s="277"/>
      <c r="AC116" s="418"/>
    </row>
    <row r="117" spans="2:29" ht="23.1" customHeight="1">
      <c r="B117" s="10">
        <f t="shared" si="1"/>
        <v>112</v>
      </c>
      <c r="C117" s="274"/>
      <c r="D117" s="94"/>
      <c r="E117" s="95"/>
      <c r="F117" s="415"/>
      <c r="G117" s="94"/>
      <c r="H117" s="93"/>
      <c r="I117" s="93"/>
      <c r="J117" s="94"/>
      <c r="K117" s="94"/>
      <c r="L117" s="94"/>
      <c r="M117" s="94"/>
      <c r="N117" s="281"/>
      <c r="O117" s="92"/>
      <c r="P117" s="92"/>
      <c r="Q117" s="92"/>
      <c r="R117" s="92"/>
      <c r="S117" s="92"/>
      <c r="T117" s="92"/>
      <c r="U117" s="92"/>
      <c r="V117" s="277"/>
      <c r="W117" s="277"/>
      <c r="X117" s="277"/>
      <c r="Y117" s="95"/>
      <c r="Z117" s="277"/>
      <c r="AA117" s="277"/>
      <c r="AB117" s="277"/>
      <c r="AC117" s="418"/>
    </row>
    <row r="118" spans="2:29" ht="23.1" customHeight="1">
      <c r="B118" s="10">
        <f t="shared" si="1"/>
        <v>113</v>
      </c>
      <c r="C118" s="274"/>
      <c r="D118" s="94"/>
      <c r="E118" s="95"/>
      <c r="F118" s="415"/>
      <c r="G118" s="94"/>
      <c r="H118" s="93"/>
      <c r="I118" s="93"/>
      <c r="J118" s="94"/>
      <c r="K118" s="94"/>
      <c r="L118" s="94"/>
      <c r="M118" s="94"/>
      <c r="N118" s="281"/>
      <c r="O118" s="92"/>
      <c r="P118" s="92"/>
      <c r="Q118" s="92"/>
      <c r="R118" s="92"/>
      <c r="S118" s="92"/>
      <c r="T118" s="92"/>
      <c r="U118" s="92"/>
      <c r="V118" s="277"/>
      <c r="W118" s="277"/>
      <c r="X118" s="277"/>
      <c r="Y118" s="95"/>
      <c r="Z118" s="277"/>
      <c r="AA118" s="277"/>
      <c r="AB118" s="277"/>
      <c r="AC118" s="418"/>
    </row>
    <row r="119" spans="2:29" ht="23.1" customHeight="1">
      <c r="B119" s="10">
        <f t="shared" si="1"/>
        <v>114</v>
      </c>
      <c r="C119" s="274"/>
      <c r="D119" s="94"/>
      <c r="E119" s="95"/>
      <c r="F119" s="415"/>
      <c r="G119" s="94"/>
      <c r="H119" s="93"/>
      <c r="I119" s="93"/>
      <c r="J119" s="94"/>
      <c r="K119" s="94"/>
      <c r="L119" s="94"/>
      <c r="M119" s="94"/>
      <c r="N119" s="281"/>
      <c r="O119" s="92"/>
      <c r="P119" s="92"/>
      <c r="Q119" s="92"/>
      <c r="R119" s="92"/>
      <c r="S119" s="92"/>
      <c r="T119" s="92"/>
      <c r="U119" s="92"/>
      <c r="V119" s="277"/>
      <c r="W119" s="277"/>
      <c r="X119" s="277"/>
      <c r="Y119" s="95"/>
      <c r="Z119" s="277"/>
      <c r="AA119" s="277"/>
      <c r="AB119" s="277"/>
      <c r="AC119" s="418"/>
    </row>
    <row r="120" spans="2:29" ht="23.1" customHeight="1">
      <c r="B120" s="10">
        <f t="shared" si="1"/>
        <v>115</v>
      </c>
      <c r="C120" s="274"/>
      <c r="D120" s="94"/>
      <c r="E120" s="95"/>
      <c r="F120" s="415"/>
      <c r="G120" s="94"/>
      <c r="H120" s="93"/>
      <c r="I120" s="93"/>
      <c r="J120" s="94"/>
      <c r="K120" s="94"/>
      <c r="L120" s="94"/>
      <c r="M120" s="94"/>
      <c r="N120" s="281"/>
      <c r="O120" s="92"/>
      <c r="P120" s="92"/>
      <c r="Q120" s="92"/>
      <c r="R120" s="92"/>
      <c r="S120" s="92"/>
      <c r="T120" s="92"/>
      <c r="U120" s="92"/>
      <c r="V120" s="277"/>
      <c r="W120" s="277"/>
      <c r="X120" s="277"/>
      <c r="Y120" s="95"/>
      <c r="Z120" s="277"/>
      <c r="AA120" s="277"/>
      <c r="AB120" s="277"/>
      <c r="AC120" s="418"/>
    </row>
    <row r="121" spans="2:29" ht="23.1" customHeight="1">
      <c r="B121" s="10">
        <f t="shared" si="1"/>
        <v>116</v>
      </c>
      <c r="C121" s="274"/>
      <c r="D121" s="94"/>
      <c r="E121" s="95"/>
      <c r="F121" s="415"/>
      <c r="G121" s="94"/>
      <c r="H121" s="93"/>
      <c r="I121" s="93"/>
      <c r="J121" s="94"/>
      <c r="K121" s="94"/>
      <c r="L121" s="94"/>
      <c r="M121" s="94"/>
      <c r="N121" s="281"/>
      <c r="O121" s="92"/>
      <c r="P121" s="92"/>
      <c r="Q121" s="92"/>
      <c r="R121" s="92"/>
      <c r="S121" s="92"/>
      <c r="T121" s="92"/>
      <c r="U121" s="92"/>
      <c r="V121" s="277"/>
      <c r="W121" s="277"/>
      <c r="X121" s="277"/>
      <c r="Y121" s="95"/>
      <c r="Z121" s="277"/>
      <c r="AA121" s="277"/>
      <c r="AB121" s="277"/>
      <c r="AC121" s="418"/>
    </row>
    <row r="122" spans="2:29" ht="23.1" customHeight="1">
      <c r="B122" s="10">
        <f t="shared" si="1"/>
        <v>117</v>
      </c>
      <c r="C122" s="274"/>
      <c r="D122" s="94"/>
      <c r="E122" s="95"/>
      <c r="F122" s="415"/>
      <c r="G122" s="94"/>
      <c r="H122" s="93"/>
      <c r="I122" s="93"/>
      <c r="J122" s="94"/>
      <c r="K122" s="94"/>
      <c r="L122" s="94"/>
      <c r="M122" s="94"/>
      <c r="N122" s="281"/>
      <c r="O122" s="92"/>
      <c r="P122" s="92"/>
      <c r="Q122" s="92"/>
      <c r="R122" s="92"/>
      <c r="S122" s="92"/>
      <c r="T122" s="92"/>
      <c r="U122" s="92"/>
      <c r="V122" s="277"/>
      <c r="W122" s="277"/>
      <c r="X122" s="277"/>
      <c r="Y122" s="95"/>
      <c r="Z122" s="277"/>
      <c r="AA122" s="277"/>
      <c r="AB122" s="277"/>
      <c r="AC122" s="418"/>
    </row>
    <row r="123" spans="2:29" ht="23.1" customHeight="1">
      <c r="B123" s="10">
        <f t="shared" si="1"/>
        <v>118</v>
      </c>
      <c r="C123" s="274"/>
      <c r="D123" s="94"/>
      <c r="E123" s="95"/>
      <c r="F123" s="415"/>
      <c r="G123" s="94"/>
      <c r="H123" s="93"/>
      <c r="I123" s="93"/>
      <c r="J123" s="94"/>
      <c r="K123" s="94"/>
      <c r="L123" s="94"/>
      <c r="M123" s="94"/>
      <c r="N123" s="281"/>
      <c r="O123" s="92"/>
      <c r="P123" s="92"/>
      <c r="Q123" s="92"/>
      <c r="R123" s="92"/>
      <c r="S123" s="92"/>
      <c r="T123" s="92"/>
      <c r="U123" s="92"/>
      <c r="V123" s="277"/>
      <c r="W123" s="277"/>
      <c r="X123" s="277"/>
      <c r="Y123" s="95"/>
      <c r="Z123" s="277"/>
      <c r="AA123" s="277"/>
      <c r="AB123" s="277"/>
      <c r="AC123" s="418"/>
    </row>
    <row r="124" spans="2:29" ht="23.1" customHeight="1">
      <c r="B124" s="10">
        <f t="shared" si="1"/>
        <v>119</v>
      </c>
      <c r="C124" s="274"/>
      <c r="D124" s="94"/>
      <c r="E124" s="95"/>
      <c r="F124" s="415"/>
      <c r="G124" s="94"/>
      <c r="H124" s="93"/>
      <c r="I124" s="93"/>
      <c r="J124" s="94"/>
      <c r="K124" s="94"/>
      <c r="L124" s="94"/>
      <c r="M124" s="94"/>
      <c r="N124" s="281"/>
      <c r="O124" s="92"/>
      <c r="P124" s="92"/>
      <c r="Q124" s="92"/>
      <c r="R124" s="92"/>
      <c r="S124" s="92"/>
      <c r="T124" s="92"/>
      <c r="U124" s="92"/>
      <c r="V124" s="277"/>
      <c r="W124" s="277"/>
      <c r="X124" s="277"/>
      <c r="Y124" s="95"/>
      <c r="Z124" s="277"/>
      <c r="AA124" s="277"/>
      <c r="AB124" s="277"/>
      <c r="AC124" s="418"/>
    </row>
    <row r="125" spans="2:29" ht="23.1" customHeight="1">
      <c r="B125" s="10">
        <f t="shared" si="1"/>
        <v>120</v>
      </c>
      <c r="C125" s="274"/>
      <c r="D125" s="94"/>
      <c r="E125" s="95"/>
      <c r="F125" s="415"/>
      <c r="G125" s="94"/>
      <c r="H125" s="93"/>
      <c r="I125" s="93"/>
      <c r="J125" s="94"/>
      <c r="K125" s="94"/>
      <c r="L125" s="94"/>
      <c r="M125" s="94"/>
      <c r="N125" s="281"/>
      <c r="O125" s="92"/>
      <c r="P125" s="92"/>
      <c r="Q125" s="92"/>
      <c r="R125" s="92"/>
      <c r="S125" s="92"/>
      <c r="T125" s="92"/>
      <c r="U125" s="92"/>
      <c r="V125" s="277"/>
      <c r="W125" s="277"/>
      <c r="X125" s="277"/>
      <c r="Y125" s="95"/>
      <c r="Z125" s="277"/>
      <c r="AA125" s="277"/>
      <c r="AB125" s="277"/>
      <c r="AC125" s="418"/>
    </row>
    <row r="126" spans="2:29" ht="23.1" customHeight="1">
      <c r="B126" s="10">
        <f t="shared" si="1"/>
        <v>121</v>
      </c>
      <c r="C126" s="274"/>
      <c r="D126" s="94"/>
      <c r="E126" s="95"/>
      <c r="F126" s="415"/>
      <c r="G126" s="94"/>
      <c r="H126" s="93"/>
      <c r="I126" s="93"/>
      <c r="J126" s="94"/>
      <c r="K126" s="94"/>
      <c r="L126" s="94"/>
      <c r="M126" s="94"/>
      <c r="N126" s="281"/>
      <c r="O126" s="92"/>
      <c r="P126" s="92"/>
      <c r="Q126" s="92"/>
      <c r="R126" s="92"/>
      <c r="S126" s="92"/>
      <c r="T126" s="92"/>
      <c r="U126" s="92"/>
      <c r="V126" s="277"/>
      <c r="W126" s="277"/>
      <c r="X126" s="277"/>
      <c r="Y126" s="95"/>
      <c r="Z126" s="277"/>
      <c r="AA126" s="277"/>
      <c r="AB126" s="277"/>
      <c r="AC126" s="418"/>
    </row>
    <row r="127" spans="2:29" ht="23.1" customHeight="1">
      <c r="B127" s="10">
        <f t="shared" si="1"/>
        <v>122</v>
      </c>
      <c r="C127" s="274"/>
      <c r="D127" s="94"/>
      <c r="E127" s="95"/>
      <c r="F127" s="415"/>
      <c r="G127" s="94"/>
      <c r="H127" s="93"/>
      <c r="I127" s="93"/>
      <c r="J127" s="94"/>
      <c r="K127" s="94"/>
      <c r="L127" s="94"/>
      <c r="M127" s="94"/>
      <c r="N127" s="281"/>
      <c r="O127" s="92"/>
      <c r="P127" s="92"/>
      <c r="Q127" s="92"/>
      <c r="R127" s="92"/>
      <c r="S127" s="92"/>
      <c r="T127" s="92"/>
      <c r="U127" s="92"/>
      <c r="V127" s="277"/>
      <c r="W127" s="277"/>
      <c r="X127" s="277"/>
      <c r="Y127" s="95"/>
      <c r="Z127" s="277"/>
      <c r="AA127" s="277"/>
      <c r="AB127" s="277"/>
      <c r="AC127" s="418"/>
    </row>
    <row r="128" spans="2:29" ht="23.1" customHeight="1">
      <c r="B128" s="10">
        <f t="shared" si="1"/>
        <v>123</v>
      </c>
      <c r="C128" s="274"/>
      <c r="D128" s="94"/>
      <c r="E128" s="95"/>
      <c r="F128" s="415"/>
      <c r="G128" s="94"/>
      <c r="H128" s="93"/>
      <c r="I128" s="93"/>
      <c r="J128" s="94"/>
      <c r="K128" s="94"/>
      <c r="L128" s="94"/>
      <c r="M128" s="94"/>
      <c r="N128" s="281"/>
      <c r="O128" s="92"/>
      <c r="P128" s="92"/>
      <c r="Q128" s="92"/>
      <c r="R128" s="92"/>
      <c r="S128" s="92"/>
      <c r="T128" s="92"/>
      <c r="U128" s="92"/>
      <c r="V128" s="277"/>
      <c r="W128" s="277"/>
      <c r="X128" s="277"/>
      <c r="Y128" s="95"/>
      <c r="Z128" s="277"/>
      <c r="AA128" s="277"/>
      <c r="AB128" s="277"/>
      <c r="AC128" s="418"/>
    </row>
    <row r="129" spans="2:29" ht="23.1" customHeight="1">
      <c r="B129" s="10">
        <f t="shared" si="1"/>
        <v>124</v>
      </c>
      <c r="C129" s="274"/>
      <c r="D129" s="94"/>
      <c r="E129" s="95"/>
      <c r="F129" s="415"/>
      <c r="G129" s="94"/>
      <c r="H129" s="93"/>
      <c r="I129" s="93"/>
      <c r="J129" s="94"/>
      <c r="K129" s="94"/>
      <c r="L129" s="94"/>
      <c r="M129" s="94"/>
      <c r="N129" s="281"/>
      <c r="O129" s="92"/>
      <c r="P129" s="92"/>
      <c r="Q129" s="92"/>
      <c r="R129" s="92"/>
      <c r="S129" s="92"/>
      <c r="T129" s="92"/>
      <c r="U129" s="92"/>
      <c r="V129" s="277"/>
      <c r="W129" s="277"/>
      <c r="X129" s="277"/>
      <c r="Y129" s="95"/>
      <c r="Z129" s="277"/>
      <c r="AA129" s="277"/>
      <c r="AB129" s="277"/>
      <c r="AC129" s="418"/>
    </row>
    <row r="130" spans="2:29" ht="23.1" customHeight="1">
      <c r="B130" s="10">
        <f t="shared" si="1"/>
        <v>125</v>
      </c>
      <c r="C130" s="274"/>
      <c r="D130" s="94"/>
      <c r="E130" s="95"/>
      <c r="F130" s="415"/>
      <c r="G130" s="94"/>
      <c r="H130" s="93"/>
      <c r="I130" s="93"/>
      <c r="J130" s="94"/>
      <c r="K130" s="94"/>
      <c r="L130" s="94"/>
      <c r="M130" s="94"/>
      <c r="N130" s="281"/>
      <c r="O130" s="92"/>
      <c r="P130" s="92"/>
      <c r="Q130" s="92"/>
      <c r="R130" s="92"/>
      <c r="S130" s="92"/>
      <c r="T130" s="92"/>
      <c r="U130" s="92"/>
      <c r="V130" s="277"/>
      <c r="W130" s="277"/>
      <c r="X130" s="277"/>
      <c r="Y130" s="95"/>
      <c r="Z130" s="277"/>
      <c r="AA130" s="277"/>
      <c r="AB130" s="277"/>
      <c r="AC130" s="418"/>
    </row>
    <row r="131" spans="2:29" ht="23.1" customHeight="1">
      <c r="B131" s="10">
        <f t="shared" si="1"/>
        <v>126</v>
      </c>
      <c r="C131" s="274"/>
      <c r="D131" s="94"/>
      <c r="E131" s="95"/>
      <c r="F131" s="415"/>
      <c r="G131" s="94"/>
      <c r="H131" s="93"/>
      <c r="I131" s="93"/>
      <c r="J131" s="94"/>
      <c r="K131" s="94"/>
      <c r="L131" s="94"/>
      <c r="M131" s="94"/>
      <c r="N131" s="281"/>
      <c r="O131" s="92"/>
      <c r="P131" s="92"/>
      <c r="Q131" s="92"/>
      <c r="R131" s="92"/>
      <c r="S131" s="92"/>
      <c r="T131" s="92"/>
      <c r="U131" s="92"/>
      <c r="V131" s="277"/>
      <c r="W131" s="277"/>
      <c r="X131" s="277"/>
      <c r="Y131" s="95"/>
      <c r="Z131" s="277"/>
      <c r="AA131" s="277"/>
      <c r="AB131" s="277"/>
      <c r="AC131" s="418"/>
    </row>
    <row r="132" spans="2:29" ht="23.1" customHeight="1">
      <c r="B132" s="10">
        <f t="shared" si="1"/>
        <v>127</v>
      </c>
      <c r="C132" s="274"/>
      <c r="D132" s="94"/>
      <c r="E132" s="95"/>
      <c r="F132" s="415"/>
      <c r="G132" s="94"/>
      <c r="H132" s="93"/>
      <c r="I132" s="93"/>
      <c r="J132" s="94"/>
      <c r="K132" s="94"/>
      <c r="L132" s="94"/>
      <c r="M132" s="94"/>
      <c r="N132" s="281"/>
      <c r="O132" s="92"/>
      <c r="P132" s="92"/>
      <c r="Q132" s="92"/>
      <c r="R132" s="92"/>
      <c r="S132" s="92"/>
      <c r="T132" s="92"/>
      <c r="U132" s="92"/>
      <c r="V132" s="277"/>
      <c r="W132" s="277"/>
      <c r="X132" s="277"/>
      <c r="Y132" s="95"/>
      <c r="Z132" s="277"/>
      <c r="AA132" s="277"/>
      <c r="AB132" s="277"/>
      <c r="AC132" s="418"/>
    </row>
    <row r="133" spans="2:29" ht="23.1" customHeight="1">
      <c r="B133" s="10">
        <f t="shared" si="1"/>
        <v>128</v>
      </c>
      <c r="C133" s="274"/>
      <c r="D133" s="94"/>
      <c r="E133" s="95"/>
      <c r="F133" s="415"/>
      <c r="G133" s="94"/>
      <c r="H133" s="93"/>
      <c r="I133" s="93"/>
      <c r="J133" s="94"/>
      <c r="K133" s="94"/>
      <c r="L133" s="94"/>
      <c r="M133" s="94"/>
      <c r="N133" s="281"/>
      <c r="O133" s="92"/>
      <c r="P133" s="92"/>
      <c r="Q133" s="92"/>
      <c r="R133" s="92"/>
      <c r="S133" s="92"/>
      <c r="T133" s="92"/>
      <c r="U133" s="92"/>
      <c r="V133" s="277"/>
      <c r="W133" s="277"/>
      <c r="X133" s="277"/>
      <c r="Y133" s="95"/>
      <c r="Z133" s="277"/>
      <c r="AA133" s="277"/>
      <c r="AB133" s="277"/>
      <c r="AC133" s="418"/>
    </row>
    <row r="134" spans="2:29" ht="23.1" customHeight="1">
      <c r="B134" s="10">
        <f t="shared" si="1"/>
        <v>129</v>
      </c>
      <c r="C134" s="274"/>
      <c r="D134" s="94"/>
      <c r="E134" s="95"/>
      <c r="F134" s="415"/>
      <c r="G134" s="94"/>
      <c r="H134" s="93"/>
      <c r="I134" s="93"/>
      <c r="J134" s="94"/>
      <c r="K134" s="94"/>
      <c r="L134" s="94"/>
      <c r="M134" s="94"/>
      <c r="N134" s="281"/>
      <c r="O134" s="92"/>
      <c r="P134" s="92"/>
      <c r="Q134" s="92"/>
      <c r="R134" s="92"/>
      <c r="S134" s="92"/>
      <c r="T134" s="92"/>
      <c r="U134" s="92"/>
      <c r="V134" s="277"/>
      <c r="W134" s="277"/>
      <c r="X134" s="277"/>
      <c r="Y134" s="95"/>
      <c r="Z134" s="277"/>
      <c r="AA134" s="277"/>
      <c r="AB134" s="277"/>
      <c r="AC134" s="418"/>
    </row>
    <row r="135" spans="2:29" ht="23.1" customHeight="1">
      <c r="B135" s="10">
        <f t="shared" si="1"/>
        <v>130</v>
      </c>
      <c r="C135" s="274"/>
      <c r="D135" s="94"/>
      <c r="E135" s="95"/>
      <c r="F135" s="415"/>
      <c r="G135" s="94"/>
      <c r="H135" s="93"/>
      <c r="I135" s="93"/>
      <c r="J135" s="94"/>
      <c r="K135" s="94"/>
      <c r="L135" s="94"/>
      <c r="M135" s="94"/>
      <c r="N135" s="281"/>
      <c r="O135" s="92"/>
      <c r="P135" s="92"/>
      <c r="Q135" s="92"/>
      <c r="R135" s="92"/>
      <c r="S135" s="92"/>
      <c r="T135" s="92"/>
      <c r="U135" s="92"/>
      <c r="V135" s="277"/>
      <c r="W135" s="277"/>
      <c r="X135" s="277"/>
      <c r="Y135" s="95"/>
      <c r="Z135" s="277"/>
      <c r="AA135" s="277"/>
      <c r="AB135" s="277"/>
      <c r="AC135" s="418"/>
    </row>
    <row r="136" spans="2:29" ht="23.1" customHeight="1">
      <c r="B136" s="10">
        <f t="shared" ref="B136:B155" si="2">B135+1</f>
        <v>131</v>
      </c>
      <c r="C136" s="274"/>
      <c r="D136" s="94"/>
      <c r="E136" s="95"/>
      <c r="F136" s="415"/>
      <c r="G136" s="94"/>
      <c r="H136" s="93"/>
      <c r="I136" s="93"/>
      <c r="J136" s="94"/>
      <c r="K136" s="94"/>
      <c r="L136" s="94"/>
      <c r="M136" s="94"/>
      <c r="N136" s="281"/>
      <c r="O136" s="92"/>
      <c r="P136" s="92"/>
      <c r="Q136" s="92"/>
      <c r="R136" s="92"/>
      <c r="S136" s="92"/>
      <c r="T136" s="92"/>
      <c r="U136" s="92"/>
      <c r="V136" s="277"/>
      <c r="W136" s="277"/>
      <c r="X136" s="277"/>
      <c r="Y136" s="95"/>
      <c r="Z136" s="277"/>
      <c r="AA136" s="277"/>
      <c r="AB136" s="277"/>
      <c r="AC136" s="418"/>
    </row>
    <row r="137" spans="2:29" ht="23.1" customHeight="1">
      <c r="B137" s="10">
        <f t="shared" si="2"/>
        <v>132</v>
      </c>
      <c r="C137" s="274"/>
      <c r="D137" s="94"/>
      <c r="E137" s="95"/>
      <c r="F137" s="415"/>
      <c r="G137" s="94"/>
      <c r="H137" s="93"/>
      <c r="I137" s="93"/>
      <c r="J137" s="94"/>
      <c r="K137" s="94"/>
      <c r="L137" s="94"/>
      <c r="M137" s="94"/>
      <c r="N137" s="281"/>
      <c r="O137" s="92"/>
      <c r="P137" s="92"/>
      <c r="Q137" s="92"/>
      <c r="R137" s="92"/>
      <c r="S137" s="92"/>
      <c r="T137" s="92"/>
      <c r="U137" s="92"/>
      <c r="V137" s="277"/>
      <c r="W137" s="277"/>
      <c r="X137" s="277"/>
      <c r="Y137" s="95"/>
      <c r="Z137" s="277"/>
      <c r="AA137" s="277"/>
      <c r="AB137" s="277"/>
      <c r="AC137" s="418"/>
    </row>
    <row r="138" spans="2:29" ht="23.1" customHeight="1">
      <c r="B138" s="10">
        <f t="shared" si="2"/>
        <v>133</v>
      </c>
      <c r="C138" s="274"/>
      <c r="D138" s="94"/>
      <c r="E138" s="95"/>
      <c r="F138" s="415"/>
      <c r="G138" s="94"/>
      <c r="H138" s="93"/>
      <c r="I138" s="93"/>
      <c r="J138" s="94"/>
      <c r="K138" s="94"/>
      <c r="L138" s="94"/>
      <c r="M138" s="94"/>
      <c r="N138" s="281"/>
      <c r="O138" s="92"/>
      <c r="P138" s="92"/>
      <c r="Q138" s="92"/>
      <c r="R138" s="92"/>
      <c r="S138" s="92"/>
      <c r="T138" s="92"/>
      <c r="U138" s="92"/>
      <c r="V138" s="277"/>
      <c r="W138" s="277"/>
      <c r="X138" s="277"/>
      <c r="Y138" s="95"/>
      <c r="Z138" s="277"/>
      <c r="AA138" s="277"/>
      <c r="AB138" s="277"/>
      <c r="AC138" s="418"/>
    </row>
    <row r="139" spans="2:29" ht="23.1" customHeight="1">
      <c r="B139" s="10">
        <f t="shared" si="2"/>
        <v>134</v>
      </c>
      <c r="C139" s="274"/>
      <c r="D139" s="94"/>
      <c r="E139" s="95"/>
      <c r="F139" s="415"/>
      <c r="G139" s="94"/>
      <c r="H139" s="93"/>
      <c r="I139" s="93"/>
      <c r="J139" s="94"/>
      <c r="K139" s="94"/>
      <c r="L139" s="94"/>
      <c r="M139" s="94"/>
      <c r="N139" s="281"/>
      <c r="O139" s="92"/>
      <c r="P139" s="92"/>
      <c r="Q139" s="92"/>
      <c r="R139" s="92"/>
      <c r="S139" s="92"/>
      <c r="T139" s="92"/>
      <c r="U139" s="92"/>
      <c r="V139" s="277"/>
      <c r="W139" s="277"/>
      <c r="X139" s="277"/>
      <c r="Y139" s="95"/>
      <c r="Z139" s="277"/>
      <c r="AA139" s="277"/>
      <c r="AB139" s="277"/>
      <c r="AC139" s="418"/>
    </row>
    <row r="140" spans="2:29" ht="23.1" customHeight="1">
      <c r="B140" s="10">
        <f t="shared" si="2"/>
        <v>135</v>
      </c>
      <c r="C140" s="274"/>
      <c r="D140" s="94"/>
      <c r="E140" s="95"/>
      <c r="F140" s="415"/>
      <c r="G140" s="94"/>
      <c r="H140" s="93"/>
      <c r="I140" s="93"/>
      <c r="J140" s="94"/>
      <c r="K140" s="94"/>
      <c r="L140" s="94"/>
      <c r="M140" s="94"/>
      <c r="N140" s="281"/>
      <c r="O140" s="92"/>
      <c r="P140" s="92"/>
      <c r="Q140" s="92"/>
      <c r="R140" s="92"/>
      <c r="S140" s="92"/>
      <c r="T140" s="92"/>
      <c r="U140" s="92"/>
      <c r="V140" s="277"/>
      <c r="W140" s="277"/>
      <c r="X140" s="277"/>
      <c r="Y140" s="95"/>
      <c r="Z140" s="277"/>
      <c r="AA140" s="277"/>
      <c r="AB140" s="277"/>
      <c r="AC140" s="418"/>
    </row>
    <row r="141" spans="2:29" ht="23.1" customHeight="1">
      <c r="B141" s="10">
        <f t="shared" si="2"/>
        <v>136</v>
      </c>
      <c r="C141" s="274"/>
      <c r="D141" s="94"/>
      <c r="E141" s="95"/>
      <c r="F141" s="415"/>
      <c r="G141" s="94"/>
      <c r="H141" s="93"/>
      <c r="I141" s="93"/>
      <c r="J141" s="94"/>
      <c r="K141" s="94"/>
      <c r="L141" s="94"/>
      <c r="M141" s="94"/>
      <c r="N141" s="281"/>
      <c r="O141" s="92"/>
      <c r="P141" s="92"/>
      <c r="Q141" s="92"/>
      <c r="R141" s="92"/>
      <c r="S141" s="92"/>
      <c r="T141" s="92"/>
      <c r="U141" s="92"/>
      <c r="V141" s="277"/>
      <c r="W141" s="277"/>
      <c r="X141" s="277"/>
      <c r="Y141" s="95"/>
      <c r="Z141" s="277"/>
      <c r="AA141" s="277"/>
      <c r="AB141" s="277"/>
      <c r="AC141" s="418"/>
    </row>
    <row r="142" spans="2:29" ht="23.1" customHeight="1">
      <c r="B142" s="10">
        <f t="shared" si="2"/>
        <v>137</v>
      </c>
      <c r="C142" s="274"/>
      <c r="D142" s="94"/>
      <c r="E142" s="95"/>
      <c r="F142" s="415"/>
      <c r="G142" s="94"/>
      <c r="H142" s="93"/>
      <c r="I142" s="93"/>
      <c r="J142" s="94"/>
      <c r="K142" s="94"/>
      <c r="L142" s="94"/>
      <c r="M142" s="94"/>
      <c r="N142" s="281"/>
      <c r="O142" s="92"/>
      <c r="P142" s="92"/>
      <c r="Q142" s="92"/>
      <c r="R142" s="92"/>
      <c r="S142" s="92"/>
      <c r="T142" s="92"/>
      <c r="U142" s="92"/>
      <c r="V142" s="277"/>
      <c r="W142" s="277"/>
      <c r="X142" s="277"/>
      <c r="Y142" s="95"/>
      <c r="Z142" s="277"/>
      <c r="AA142" s="277"/>
      <c r="AB142" s="277"/>
      <c r="AC142" s="418"/>
    </row>
    <row r="143" spans="2:29" ht="23.1" customHeight="1">
      <c r="B143" s="10">
        <f t="shared" si="2"/>
        <v>138</v>
      </c>
      <c r="C143" s="274"/>
      <c r="D143" s="94"/>
      <c r="E143" s="95"/>
      <c r="F143" s="415"/>
      <c r="G143" s="94"/>
      <c r="H143" s="93"/>
      <c r="I143" s="93"/>
      <c r="J143" s="94"/>
      <c r="K143" s="94"/>
      <c r="L143" s="94"/>
      <c r="M143" s="94"/>
      <c r="N143" s="281"/>
      <c r="O143" s="92"/>
      <c r="P143" s="92"/>
      <c r="Q143" s="92"/>
      <c r="R143" s="92"/>
      <c r="S143" s="92"/>
      <c r="T143" s="92"/>
      <c r="U143" s="92"/>
      <c r="V143" s="277"/>
      <c r="W143" s="277"/>
      <c r="X143" s="277"/>
      <c r="Y143" s="95"/>
      <c r="Z143" s="277"/>
      <c r="AA143" s="277"/>
      <c r="AB143" s="277"/>
      <c r="AC143" s="418"/>
    </row>
    <row r="144" spans="2:29" ht="23.1" customHeight="1">
      <c r="B144" s="10">
        <f t="shared" si="2"/>
        <v>139</v>
      </c>
      <c r="C144" s="274"/>
      <c r="D144" s="94"/>
      <c r="E144" s="95"/>
      <c r="F144" s="415"/>
      <c r="G144" s="94"/>
      <c r="H144" s="93"/>
      <c r="I144" s="93"/>
      <c r="J144" s="94"/>
      <c r="K144" s="94"/>
      <c r="L144" s="94"/>
      <c r="M144" s="94"/>
      <c r="N144" s="281"/>
      <c r="O144" s="92"/>
      <c r="P144" s="92"/>
      <c r="Q144" s="92"/>
      <c r="R144" s="92"/>
      <c r="S144" s="92"/>
      <c r="T144" s="92"/>
      <c r="U144" s="92"/>
      <c r="V144" s="277"/>
      <c r="W144" s="277"/>
      <c r="X144" s="277"/>
      <c r="Y144" s="95"/>
      <c r="Z144" s="277"/>
      <c r="AA144" s="277"/>
      <c r="AB144" s="277"/>
      <c r="AC144" s="418"/>
    </row>
    <row r="145" spans="2:29" ht="23.1" customHeight="1">
      <c r="B145" s="10">
        <f t="shared" si="2"/>
        <v>140</v>
      </c>
      <c r="C145" s="274"/>
      <c r="D145" s="94"/>
      <c r="E145" s="95"/>
      <c r="F145" s="415"/>
      <c r="G145" s="94"/>
      <c r="H145" s="93"/>
      <c r="I145" s="93"/>
      <c r="J145" s="94"/>
      <c r="K145" s="94"/>
      <c r="L145" s="94"/>
      <c r="M145" s="94"/>
      <c r="N145" s="281"/>
      <c r="O145" s="92"/>
      <c r="P145" s="92"/>
      <c r="Q145" s="92"/>
      <c r="R145" s="92"/>
      <c r="S145" s="92"/>
      <c r="T145" s="92"/>
      <c r="U145" s="92"/>
      <c r="V145" s="277"/>
      <c r="W145" s="277"/>
      <c r="X145" s="277"/>
      <c r="Y145" s="95"/>
      <c r="Z145" s="277"/>
      <c r="AA145" s="277"/>
      <c r="AB145" s="277"/>
      <c r="AC145" s="418"/>
    </row>
    <row r="146" spans="2:29" ht="23.1" customHeight="1">
      <c r="B146" s="10">
        <f t="shared" si="2"/>
        <v>141</v>
      </c>
      <c r="C146" s="274"/>
      <c r="D146" s="94"/>
      <c r="E146" s="95"/>
      <c r="F146" s="415"/>
      <c r="G146" s="94"/>
      <c r="H146" s="93"/>
      <c r="I146" s="93"/>
      <c r="J146" s="94"/>
      <c r="K146" s="94"/>
      <c r="L146" s="94"/>
      <c r="M146" s="94"/>
      <c r="N146" s="281"/>
      <c r="O146" s="92"/>
      <c r="P146" s="92"/>
      <c r="Q146" s="92"/>
      <c r="R146" s="92"/>
      <c r="S146" s="92"/>
      <c r="T146" s="92"/>
      <c r="U146" s="92"/>
      <c r="V146" s="277"/>
      <c r="W146" s="277"/>
      <c r="X146" s="277"/>
      <c r="Y146" s="95"/>
      <c r="Z146" s="277"/>
      <c r="AA146" s="277"/>
      <c r="AB146" s="277"/>
      <c r="AC146" s="418"/>
    </row>
    <row r="147" spans="2:29" ht="23.1" customHeight="1">
      <c r="B147" s="10">
        <f t="shared" si="2"/>
        <v>142</v>
      </c>
      <c r="C147" s="274"/>
      <c r="D147" s="94"/>
      <c r="E147" s="95"/>
      <c r="F147" s="415"/>
      <c r="G147" s="94"/>
      <c r="H147" s="93"/>
      <c r="I147" s="93"/>
      <c r="J147" s="94"/>
      <c r="K147" s="94"/>
      <c r="L147" s="94"/>
      <c r="M147" s="94"/>
      <c r="N147" s="281"/>
      <c r="O147" s="92"/>
      <c r="P147" s="92"/>
      <c r="Q147" s="92"/>
      <c r="R147" s="92"/>
      <c r="S147" s="92"/>
      <c r="T147" s="92"/>
      <c r="U147" s="92"/>
      <c r="V147" s="277"/>
      <c r="W147" s="277"/>
      <c r="X147" s="277"/>
      <c r="Y147" s="95"/>
      <c r="Z147" s="277"/>
      <c r="AA147" s="277"/>
      <c r="AB147" s="277"/>
      <c r="AC147" s="418"/>
    </row>
    <row r="148" spans="2:29" ht="23.1" customHeight="1">
      <c r="B148" s="10">
        <f t="shared" si="2"/>
        <v>143</v>
      </c>
      <c r="C148" s="274"/>
      <c r="D148" s="94"/>
      <c r="E148" s="95"/>
      <c r="F148" s="415"/>
      <c r="G148" s="94"/>
      <c r="H148" s="93"/>
      <c r="I148" s="93"/>
      <c r="J148" s="94"/>
      <c r="K148" s="94"/>
      <c r="L148" s="94"/>
      <c r="M148" s="94"/>
      <c r="N148" s="281"/>
      <c r="O148" s="92"/>
      <c r="P148" s="92"/>
      <c r="Q148" s="92"/>
      <c r="R148" s="92"/>
      <c r="S148" s="92"/>
      <c r="T148" s="92"/>
      <c r="U148" s="92"/>
      <c r="V148" s="277"/>
      <c r="W148" s="277"/>
      <c r="X148" s="277"/>
      <c r="Y148" s="95"/>
      <c r="Z148" s="277"/>
      <c r="AA148" s="277"/>
      <c r="AB148" s="277"/>
      <c r="AC148" s="418"/>
    </row>
    <row r="149" spans="2:29" ht="23.1" customHeight="1">
      <c r="B149" s="10">
        <f t="shared" si="2"/>
        <v>144</v>
      </c>
      <c r="C149" s="274"/>
      <c r="D149" s="94"/>
      <c r="E149" s="95"/>
      <c r="F149" s="415"/>
      <c r="G149" s="94"/>
      <c r="H149" s="93"/>
      <c r="I149" s="93"/>
      <c r="J149" s="94"/>
      <c r="K149" s="94"/>
      <c r="L149" s="94"/>
      <c r="M149" s="94"/>
      <c r="N149" s="281"/>
      <c r="O149" s="92"/>
      <c r="P149" s="92"/>
      <c r="Q149" s="92"/>
      <c r="R149" s="92"/>
      <c r="S149" s="92"/>
      <c r="T149" s="92"/>
      <c r="U149" s="92"/>
      <c r="V149" s="277"/>
      <c r="W149" s="277"/>
      <c r="X149" s="277"/>
      <c r="Y149" s="95"/>
      <c r="Z149" s="277"/>
      <c r="AA149" s="277"/>
      <c r="AB149" s="277"/>
      <c r="AC149" s="418"/>
    </row>
    <row r="150" spans="2:29" ht="23.1" customHeight="1">
      <c r="B150" s="10">
        <f t="shared" si="2"/>
        <v>145</v>
      </c>
      <c r="C150" s="274"/>
      <c r="D150" s="94"/>
      <c r="E150" s="95"/>
      <c r="F150" s="415"/>
      <c r="G150" s="94"/>
      <c r="H150" s="93"/>
      <c r="I150" s="93"/>
      <c r="J150" s="94"/>
      <c r="K150" s="94"/>
      <c r="L150" s="94"/>
      <c r="M150" s="94"/>
      <c r="N150" s="281"/>
      <c r="O150" s="92"/>
      <c r="P150" s="92"/>
      <c r="Q150" s="92"/>
      <c r="R150" s="92"/>
      <c r="S150" s="92"/>
      <c r="T150" s="92"/>
      <c r="U150" s="92"/>
      <c r="V150" s="277"/>
      <c r="W150" s="277"/>
      <c r="X150" s="277"/>
      <c r="Y150" s="95"/>
      <c r="Z150" s="277"/>
      <c r="AA150" s="277"/>
      <c r="AB150" s="277"/>
      <c r="AC150" s="418"/>
    </row>
    <row r="151" spans="2:29" ht="23.1" customHeight="1">
      <c r="B151" s="10">
        <f t="shared" si="2"/>
        <v>146</v>
      </c>
      <c r="C151" s="274"/>
      <c r="D151" s="94"/>
      <c r="E151" s="95"/>
      <c r="F151" s="415"/>
      <c r="G151" s="94"/>
      <c r="H151" s="93"/>
      <c r="I151" s="93"/>
      <c r="J151" s="94"/>
      <c r="K151" s="94"/>
      <c r="L151" s="94"/>
      <c r="M151" s="94"/>
      <c r="N151" s="281"/>
      <c r="O151" s="92"/>
      <c r="P151" s="92"/>
      <c r="Q151" s="92"/>
      <c r="R151" s="92"/>
      <c r="S151" s="92"/>
      <c r="T151" s="92"/>
      <c r="U151" s="92"/>
      <c r="V151" s="277"/>
      <c r="W151" s="277"/>
      <c r="X151" s="277"/>
      <c r="Y151" s="95"/>
      <c r="Z151" s="277"/>
      <c r="AA151" s="277"/>
      <c r="AB151" s="277"/>
      <c r="AC151" s="418"/>
    </row>
    <row r="152" spans="2:29" ht="23.1" customHeight="1">
      <c r="B152" s="10">
        <f t="shared" si="2"/>
        <v>147</v>
      </c>
      <c r="C152" s="274"/>
      <c r="D152" s="94"/>
      <c r="E152" s="95"/>
      <c r="F152" s="415"/>
      <c r="G152" s="94"/>
      <c r="H152" s="93"/>
      <c r="I152" s="93"/>
      <c r="J152" s="94"/>
      <c r="K152" s="94"/>
      <c r="L152" s="94"/>
      <c r="M152" s="94"/>
      <c r="N152" s="281"/>
      <c r="O152" s="92"/>
      <c r="P152" s="92"/>
      <c r="Q152" s="92"/>
      <c r="R152" s="92"/>
      <c r="S152" s="92"/>
      <c r="T152" s="92"/>
      <c r="U152" s="92"/>
      <c r="V152" s="277"/>
      <c r="W152" s="277"/>
      <c r="X152" s="277"/>
      <c r="Y152" s="95"/>
      <c r="Z152" s="277"/>
      <c r="AA152" s="277"/>
      <c r="AB152" s="277"/>
      <c r="AC152" s="418"/>
    </row>
    <row r="153" spans="2:29" ht="23.1" customHeight="1">
      <c r="B153" s="10">
        <f t="shared" si="2"/>
        <v>148</v>
      </c>
      <c r="C153" s="274"/>
      <c r="D153" s="94"/>
      <c r="E153" s="95"/>
      <c r="F153" s="415"/>
      <c r="G153" s="94"/>
      <c r="H153" s="93"/>
      <c r="I153" s="93"/>
      <c r="J153" s="94"/>
      <c r="K153" s="94"/>
      <c r="L153" s="94"/>
      <c r="M153" s="94"/>
      <c r="N153" s="281"/>
      <c r="O153" s="92"/>
      <c r="P153" s="92"/>
      <c r="Q153" s="92"/>
      <c r="R153" s="92"/>
      <c r="S153" s="92"/>
      <c r="T153" s="92"/>
      <c r="U153" s="92"/>
      <c r="V153" s="277"/>
      <c r="W153" s="277"/>
      <c r="X153" s="277"/>
      <c r="Y153" s="95"/>
      <c r="Z153" s="277"/>
      <c r="AA153" s="277"/>
      <c r="AB153" s="277"/>
      <c r="AC153" s="418"/>
    </row>
    <row r="154" spans="2:29" ht="23.1" customHeight="1">
      <c r="B154" s="10">
        <f t="shared" si="2"/>
        <v>149</v>
      </c>
      <c r="C154" s="274"/>
      <c r="D154" s="94"/>
      <c r="E154" s="95"/>
      <c r="F154" s="415"/>
      <c r="G154" s="94"/>
      <c r="H154" s="93"/>
      <c r="I154" s="93"/>
      <c r="J154" s="94"/>
      <c r="K154" s="94"/>
      <c r="L154" s="94"/>
      <c r="M154" s="94"/>
      <c r="N154" s="281"/>
      <c r="O154" s="92"/>
      <c r="P154" s="92"/>
      <c r="Q154" s="92"/>
      <c r="R154" s="92"/>
      <c r="S154" s="92"/>
      <c r="T154" s="92"/>
      <c r="U154" s="92"/>
      <c r="V154" s="277"/>
      <c r="W154" s="277"/>
      <c r="X154" s="277"/>
      <c r="Y154" s="95"/>
      <c r="Z154" s="277"/>
      <c r="AA154" s="277"/>
      <c r="AB154" s="277"/>
      <c r="AC154" s="418"/>
    </row>
    <row r="155" spans="2:29" ht="23.1" customHeight="1">
      <c r="B155" s="10">
        <f t="shared" si="2"/>
        <v>150</v>
      </c>
      <c r="C155" s="274"/>
      <c r="D155" s="94"/>
      <c r="E155" s="95"/>
      <c r="F155" s="415"/>
      <c r="G155" s="94"/>
      <c r="H155" s="93"/>
      <c r="I155" s="93"/>
      <c r="J155" s="94"/>
      <c r="K155" s="94"/>
      <c r="L155" s="94"/>
      <c r="M155" s="94"/>
      <c r="N155" s="281"/>
      <c r="O155" s="92"/>
      <c r="P155" s="92"/>
      <c r="Q155" s="92"/>
      <c r="R155" s="92"/>
      <c r="S155" s="92"/>
      <c r="T155" s="92"/>
      <c r="U155" s="92"/>
      <c r="V155" s="277"/>
      <c r="W155" s="277"/>
      <c r="X155" s="277"/>
      <c r="Y155" s="95"/>
      <c r="Z155" s="277"/>
      <c r="AA155" s="277"/>
      <c r="AB155" s="277"/>
      <c r="AC155" s="419"/>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423</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1000" t="s">
        <v>10</v>
      </c>
      <c r="C5" s="1001"/>
      <c r="D5" s="1001"/>
      <c r="E5" s="1001"/>
      <c r="F5" s="1001"/>
      <c r="G5" s="1001"/>
      <c r="H5" s="1002"/>
      <c r="I5" s="1003" t="s">
        <v>11</v>
      </c>
      <c r="J5" s="1003"/>
      <c r="K5" s="1003"/>
      <c r="L5" s="1000" t="s">
        <v>12</v>
      </c>
      <c r="M5" s="1001"/>
      <c r="N5" s="1001"/>
      <c r="O5" s="1001"/>
      <c r="P5" s="1002"/>
    </row>
    <row r="6" spans="2:16" s="99" customFormat="1" ht="54.95" customHeight="1">
      <c r="B6" s="96" t="s">
        <v>146</v>
      </c>
      <c r="C6" s="76"/>
      <c r="D6" s="97" t="s">
        <v>27</v>
      </c>
      <c r="E6" s="76"/>
      <c r="F6" s="97" t="s">
        <v>145</v>
      </c>
      <c r="G6" s="76"/>
      <c r="H6" s="98" t="s">
        <v>105</v>
      </c>
      <c r="I6" s="999"/>
      <c r="J6" s="999"/>
      <c r="K6" s="999"/>
      <c r="L6" s="999"/>
      <c r="M6" s="999"/>
      <c r="N6" s="999"/>
      <c r="O6" s="999"/>
      <c r="P6" s="999"/>
    </row>
    <row r="7" spans="2:16" s="99" customFormat="1" ht="54.95" customHeight="1">
      <c r="B7" s="96" t="s">
        <v>146</v>
      </c>
      <c r="C7" s="76"/>
      <c r="D7" s="97" t="s">
        <v>27</v>
      </c>
      <c r="E7" s="76"/>
      <c r="F7" s="97" t="s">
        <v>145</v>
      </c>
      <c r="G7" s="76"/>
      <c r="H7" s="98" t="s">
        <v>105</v>
      </c>
      <c r="I7" s="999"/>
      <c r="J7" s="999"/>
      <c r="K7" s="999"/>
      <c r="L7" s="999"/>
      <c r="M7" s="999"/>
      <c r="N7" s="999"/>
      <c r="O7" s="999"/>
      <c r="P7" s="999"/>
    </row>
    <row r="8" spans="2:16" s="99" customFormat="1" ht="54.95" customHeight="1">
      <c r="B8" s="96" t="s">
        <v>146</v>
      </c>
      <c r="C8" s="76"/>
      <c r="D8" s="97" t="s">
        <v>27</v>
      </c>
      <c r="E8" s="76"/>
      <c r="F8" s="97" t="s">
        <v>145</v>
      </c>
      <c r="G8" s="76"/>
      <c r="H8" s="98" t="s">
        <v>105</v>
      </c>
      <c r="I8" s="999"/>
      <c r="J8" s="999"/>
      <c r="K8" s="999"/>
      <c r="L8" s="999"/>
      <c r="M8" s="999"/>
      <c r="N8" s="999"/>
      <c r="O8" s="999"/>
      <c r="P8" s="999"/>
    </row>
    <row r="9" spans="2:16" s="99" customFormat="1" ht="54.95" customHeight="1">
      <c r="B9" s="96" t="s">
        <v>146</v>
      </c>
      <c r="C9" s="76"/>
      <c r="D9" s="97" t="s">
        <v>27</v>
      </c>
      <c r="E9" s="76"/>
      <c r="F9" s="97" t="s">
        <v>145</v>
      </c>
      <c r="G9" s="76"/>
      <c r="H9" s="98" t="s">
        <v>105</v>
      </c>
      <c r="I9" s="999"/>
      <c r="J9" s="999"/>
      <c r="K9" s="999"/>
      <c r="L9" s="999"/>
      <c r="M9" s="999"/>
      <c r="N9" s="999"/>
      <c r="O9" s="999"/>
      <c r="P9" s="999"/>
    </row>
    <row r="10" spans="2:16" s="44" customFormat="1" ht="18" customHeight="1">
      <c r="B10" s="44" t="s">
        <v>147</v>
      </c>
    </row>
    <row r="11" spans="2:16" s="44" customFormat="1" ht="18" customHeight="1">
      <c r="B11" s="44" t="s">
        <v>148</v>
      </c>
    </row>
    <row r="12" spans="2:16" ht="15.75" customHeight="1">
      <c r="B12" s="2"/>
      <c r="C12" s="2"/>
      <c r="D12" s="2"/>
      <c r="E12" s="2"/>
      <c r="F12" s="2"/>
      <c r="G12" s="2"/>
      <c r="H12" s="2"/>
      <c r="I12" s="2"/>
      <c r="J12" s="44"/>
      <c r="K12" s="7"/>
      <c r="L12" s="7"/>
      <c r="M12" s="7"/>
      <c r="N12" s="7"/>
      <c r="O12" s="7"/>
    </row>
    <row r="13" spans="2:16" ht="19.5" customHeight="1">
      <c r="B13" s="6" t="s">
        <v>160</v>
      </c>
      <c r="C13" s="6"/>
      <c r="D13" s="6"/>
      <c r="E13" s="6"/>
      <c r="F13" s="6"/>
      <c r="G13" s="6"/>
      <c r="H13" s="6"/>
      <c r="I13" s="6"/>
      <c r="J13" s="44"/>
      <c r="K13" s="7"/>
      <c r="L13" s="6" t="s">
        <v>166</v>
      </c>
      <c r="M13" s="7"/>
      <c r="N13" s="7"/>
    </row>
    <row r="14" spans="2:16" s="99" customFormat="1" ht="39.950000000000003" customHeight="1">
      <c r="B14" s="996" t="s">
        <v>169</v>
      </c>
      <c r="C14" s="997"/>
      <c r="D14" s="997"/>
      <c r="E14" s="997"/>
      <c r="F14" s="997"/>
      <c r="G14" s="997"/>
      <c r="H14" s="997"/>
      <c r="I14" s="998">
        <v>0</v>
      </c>
      <c r="J14" s="998"/>
      <c r="K14" s="7"/>
      <c r="L14" s="106"/>
      <c r="M14" s="105" t="s">
        <v>167</v>
      </c>
      <c r="N14" s="105" t="s">
        <v>170</v>
      </c>
      <c r="O14" s="105" t="s">
        <v>168</v>
      </c>
      <c r="P14" s="12" t="s">
        <v>315</v>
      </c>
    </row>
    <row r="15" spans="2:16" ht="39.950000000000003" customHeight="1">
      <c r="B15" s="996" t="s">
        <v>164</v>
      </c>
      <c r="C15" s="997"/>
      <c r="D15" s="997"/>
      <c r="E15" s="997"/>
      <c r="F15" s="997"/>
      <c r="G15" s="997"/>
      <c r="H15" s="997"/>
      <c r="I15" s="998">
        <v>0</v>
      </c>
      <c r="J15" s="998"/>
      <c r="L15" s="290" t="s">
        <v>333</v>
      </c>
      <c r="M15" s="107">
        <v>0</v>
      </c>
      <c r="N15" s="107">
        <v>0</v>
      </c>
      <c r="O15" s="107">
        <v>0</v>
      </c>
      <c r="P15" s="107">
        <v>0</v>
      </c>
    </row>
    <row r="16" spans="2:16" ht="39.950000000000003" customHeight="1">
      <c r="B16" s="996" t="s">
        <v>165</v>
      </c>
      <c r="C16" s="997"/>
      <c r="D16" s="997"/>
      <c r="E16" s="997"/>
      <c r="F16" s="997"/>
      <c r="G16" s="997"/>
      <c r="H16" s="997"/>
      <c r="I16" s="998">
        <v>0</v>
      </c>
      <c r="J16" s="998"/>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560</v>
      </c>
      <c r="C1" s="3"/>
      <c r="D1" s="3"/>
      <c r="E1" s="2"/>
      <c r="F1" s="7"/>
      <c r="G1" s="2"/>
      <c r="H1" s="7"/>
      <c r="I1" s="7"/>
      <c r="J1" s="7"/>
      <c r="K1" s="7"/>
    </row>
    <row r="2" spans="2:16" ht="15" customHeight="1">
      <c r="C2" s="6"/>
      <c r="D2" s="6"/>
      <c r="E2" s="6"/>
      <c r="F2" s="7"/>
      <c r="G2" s="6"/>
      <c r="I2" s="7"/>
      <c r="J2" s="7"/>
      <c r="K2" s="7"/>
    </row>
    <row r="3" spans="2:16" s="108" customFormat="1" ht="30" customHeight="1">
      <c r="B3" s="6" t="s">
        <v>171</v>
      </c>
      <c r="H3" s="6" t="s">
        <v>172</v>
      </c>
    </row>
    <row r="4" spans="2:16" s="109" customFormat="1" ht="24.95" customHeight="1">
      <c r="B4" s="1007" t="s">
        <v>458</v>
      </c>
      <c r="C4" s="1008"/>
      <c r="D4" s="1008"/>
      <c r="E4" s="1052" t="s">
        <v>456</v>
      </c>
      <c r="F4" s="1054"/>
      <c r="H4" s="1037" t="s">
        <v>551</v>
      </c>
      <c r="I4" s="1038"/>
      <c r="J4" s="1039"/>
      <c r="K4" s="362" t="s">
        <v>451</v>
      </c>
      <c r="L4" s="112"/>
      <c r="O4" s="109" t="s">
        <v>175</v>
      </c>
      <c r="P4" s="109" t="s">
        <v>178</v>
      </c>
    </row>
    <row r="5" spans="2:16" s="109" customFormat="1" ht="30" customHeight="1">
      <c r="B5" s="1049"/>
      <c r="C5" s="1050"/>
      <c r="D5" s="1050"/>
      <c r="E5" s="1053"/>
      <c r="F5" s="1055"/>
      <c r="H5" s="1040"/>
      <c r="I5" s="1041"/>
      <c r="J5" s="1042"/>
      <c r="K5" s="361" t="s">
        <v>448</v>
      </c>
      <c r="L5" s="364"/>
    </row>
    <row r="6" spans="2:16" s="109" customFormat="1" ht="24.95" customHeight="1">
      <c r="B6" s="1056" t="s">
        <v>457</v>
      </c>
      <c r="C6" s="1057"/>
      <c r="D6" s="1058"/>
      <c r="E6" s="357" t="s">
        <v>456</v>
      </c>
      <c r="F6" s="358"/>
      <c r="H6" s="1016" t="s">
        <v>455</v>
      </c>
      <c r="I6" s="1017"/>
      <c r="J6" s="1018"/>
      <c r="K6" s="426" t="s">
        <v>446</v>
      </c>
      <c r="L6" s="360"/>
      <c r="O6" s="109" t="s">
        <v>176</v>
      </c>
      <c r="P6" s="109" t="s">
        <v>179</v>
      </c>
    </row>
    <row r="7" spans="2:16" s="109" customFormat="1" ht="24.95" customHeight="1">
      <c r="B7" s="1025" t="s">
        <v>561</v>
      </c>
      <c r="C7" s="1026"/>
      <c r="D7" s="1027"/>
      <c r="E7" s="428" t="s">
        <v>442</v>
      </c>
      <c r="F7" s="429"/>
      <c r="H7" s="1028" t="s">
        <v>549</v>
      </c>
      <c r="I7" s="1029"/>
      <c r="J7" s="1030"/>
      <c r="K7" s="428" t="s">
        <v>562</v>
      </c>
      <c r="L7" s="430"/>
      <c r="O7" s="109" t="s">
        <v>177</v>
      </c>
      <c r="P7" s="109" t="s">
        <v>180</v>
      </c>
    </row>
    <row r="8" spans="2:16" s="109" customFormat="1" ht="24.95" customHeight="1">
      <c r="B8" s="1034" t="s">
        <v>563</v>
      </c>
      <c r="C8" s="1035"/>
      <c r="D8" s="1036"/>
      <c r="E8" s="431" t="s">
        <v>442</v>
      </c>
      <c r="F8" s="432"/>
      <c r="H8" s="1031"/>
      <c r="I8" s="1032"/>
      <c r="J8" s="1033"/>
      <c r="K8" s="431" t="s">
        <v>442</v>
      </c>
      <c r="L8" s="433"/>
      <c r="O8" s="109" t="s">
        <v>177</v>
      </c>
      <c r="P8" s="109" t="s">
        <v>180</v>
      </c>
    </row>
    <row r="9" spans="2:16" s="109" customFormat="1" ht="24.95" customHeight="1">
      <c r="B9" s="1025" t="s">
        <v>564</v>
      </c>
      <c r="C9" s="1026"/>
      <c r="D9" s="1027"/>
      <c r="E9" s="428" t="s">
        <v>442</v>
      </c>
      <c r="F9" s="429"/>
      <c r="H9" s="1028" t="s">
        <v>550</v>
      </c>
      <c r="I9" s="1029"/>
      <c r="J9" s="1030"/>
      <c r="K9" s="428" t="s">
        <v>562</v>
      </c>
      <c r="L9" s="430"/>
      <c r="P9" s="108" t="s">
        <v>184</v>
      </c>
    </row>
    <row r="10" spans="2:16" s="109" customFormat="1" ht="24.95" customHeight="1">
      <c r="B10" s="1034" t="s">
        <v>565</v>
      </c>
      <c r="C10" s="1035"/>
      <c r="D10" s="1036"/>
      <c r="E10" s="431" t="s">
        <v>442</v>
      </c>
      <c r="F10" s="432"/>
      <c r="H10" s="1031"/>
      <c r="I10" s="1032"/>
      <c r="J10" s="1033"/>
      <c r="K10" s="431" t="s">
        <v>442</v>
      </c>
      <c r="L10" s="433"/>
      <c r="P10" s="108" t="s">
        <v>184</v>
      </c>
    </row>
    <row r="11" spans="2:16" s="110" customFormat="1" ht="15" customHeight="1"/>
    <row r="12" spans="2:16" ht="30" customHeight="1">
      <c r="B12" s="6" t="s">
        <v>173</v>
      </c>
      <c r="C12" s="2"/>
      <c r="D12" s="2"/>
      <c r="E12" s="2"/>
      <c r="F12" s="7"/>
      <c r="G12" s="2"/>
      <c r="H12" s="6" t="s">
        <v>174</v>
      </c>
      <c r="I12" s="7"/>
      <c r="J12" s="7"/>
      <c r="K12" s="7"/>
    </row>
    <row r="13" spans="2:16" ht="24.95" customHeight="1">
      <c r="B13" s="1010" t="s">
        <v>454</v>
      </c>
      <c r="C13" s="1011"/>
      <c r="D13" s="1012"/>
      <c r="E13" s="363" t="s">
        <v>453</v>
      </c>
      <c r="F13" s="111"/>
      <c r="G13" s="6"/>
      <c r="H13" s="1037" t="s">
        <v>461</v>
      </c>
      <c r="I13" s="1038"/>
      <c r="J13" s="1039"/>
      <c r="K13" s="362" t="s">
        <v>451</v>
      </c>
      <c r="L13" s="358"/>
      <c r="O13" s="1" t="s">
        <v>181</v>
      </c>
    </row>
    <row r="14" spans="2:16" ht="24.95" customHeight="1">
      <c r="B14" s="1013"/>
      <c r="C14" s="1014"/>
      <c r="D14" s="1015"/>
      <c r="E14" s="357" t="s">
        <v>452</v>
      </c>
      <c r="F14" s="111"/>
      <c r="G14" s="6"/>
      <c r="H14" s="1040"/>
      <c r="I14" s="1041"/>
      <c r="J14" s="1042"/>
      <c r="K14" s="361" t="s">
        <v>448</v>
      </c>
      <c r="L14" s="427"/>
      <c r="O14" s="1" t="s">
        <v>181</v>
      </c>
    </row>
    <row r="15" spans="2:16" ht="24.95" customHeight="1">
      <c r="B15" s="1043" t="s">
        <v>459</v>
      </c>
      <c r="C15" s="1044"/>
      <c r="D15" s="1045"/>
      <c r="E15" s="362" t="s">
        <v>451</v>
      </c>
      <c r="F15" s="427"/>
      <c r="H15" s="1007" t="s">
        <v>450</v>
      </c>
      <c r="I15" s="1008"/>
      <c r="J15" s="1009"/>
      <c r="K15" s="1052" t="s">
        <v>449</v>
      </c>
      <c r="L15" s="1023"/>
      <c r="O15" s="1" t="s">
        <v>182</v>
      </c>
    </row>
    <row r="16" spans="2:16" ht="30" customHeight="1">
      <c r="B16" s="1046"/>
      <c r="C16" s="1047"/>
      <c r="D16" s="1048"/>
      <c r="E16" s="361" t="s">
        <v>448</v>
      </c>
      <c r="F16" s="427"/>
      <c r="H16" s="1049"/>
      <c r="I16" s="1050"/>
      <c r="J16" s="1051"/>
      <c r="K16" s="1053"/>
      <c r="L16" s="1024"/>
      <c r="O16" s="1" t="s">
        <v>182</v>
      </c>
    </row>
    <row r="17" spans="2:15" ht="24.95" customHeight="1">
      <c r="B17" s="1004" t="s">
        <v>447</v>
      </c>
      <c r="C17" s="1005"/>
      <c r="D17" s="1006"/>
      <c r="E17" s="426" t="s">
        <v>446</v>
      </c>
      <c r="F17" s="360"/>
      <c r="H17" s="1007" t="s">
        <v>445</v>
      </c>
      <c r="I17" s="1008"/>
      <c r="J17" s="1009"/>
      <c r="K17" s="426" t="s">
        <v>444</v>
      </c>
      <c r="L17" s="360"/>
      <c r="O17" s="1" t="s">
        <v>183</v>
      </c>
    </row>
    <row r="18" spans="2:15" ht="30" customHeight="1">
      <c r="B18" s="1010" t="s">
        <v>460</v>
      </c>
      <c r="C18" s="1011"/>
      <c r="D18" s="1012"/>
      <c r="E18" s="359" t="s">
        <v>443</v>
      </c>
      <c r="F18" s="358"/>
      <c r="H18" s="1016" t="s">
        <v>462</v>
      </c>
      <c r="I18" s="1017"/>
      <c r="J18" s="1018"/>
      <c r="K18" s="359" t="s">
        <v>443</v>
      </c>
      <c r="L18" s="358"/>
    </row>
    <row r="19" spans="2:15" ht="24.95" customHeight="1">
      <c r="B19" s="1013"/>
      <c r="C19" s="1014"/>
      <c r="D19" s="1015"/>
      <c r="E19" s="357" t="s">
        <v>442</v>
      </c>
      <c r="F19" s="112"/>
      <c r="H19" s="1019"/>
      <c r="I19" s="1020"/>
      <c r="J19" s="1021"/>
      <c r="K19" s="357" t="s">
        <v>442</v>
      </c>
      <c r="L19" s="112"/>
    </row>
    <row r="20" spans="2:15" ht="15" customHeight="1"/>
    <row r="21" spans="2:15" ht="30" customHeight="1">
      <c r="B21" s="6" t="s">
        <v>441</v>
      </c>
      <c r="C21" s="2"/>
      <c r="D21" s="2"/>
      <c r="E21" s="2"/>
      <c r="F21" s="7"/>
      <c r="G21" s="2"/>
      <c r="H21" s="6"/>
      <c r="I21" s="7"/>
      <c r="J21" s="7"/>
      <c r="K21" s="7"/>
      <c r="L21" s="7"/>
    </row>
    <row r="22" spans="2:15" ht="30" customHeight="1">
      <c r="B22" s="1016" t="s">
        <v>440</v>
      </c>
      <c r="C22" s="1017"/>
      <c r="D22" s="1018"/>
      <c r="E22" s="356" t="s">
        <v>439</v>
      </c>
      <c r="F22" s="111"/>
      <c r="G22" s="6"/>
      <c r="H22" s="1022"/>
      <c r="I22" s="1022"/>
      <c r="J22" s="1022"/>
      <c r="K22" s="355"/>
      <c r="L22" s="354"/>
      <c r="O22" s="1" t="s">
        <v>181</v>
      </c>
    </row>
    <row r="23" spans="2:15" ht="30" customHeight="1">
      <c r="B23" s="1019"/>
      <c r="C23" s="1020"/>
      <c r="D23" s="1021"/>
      <c r="E23" s="356" t="s">
        <v>438</v>
      </c>
      <c r="F23" s="112"/>
      <c r="G23" s="6"/>
      <c r="H23" s="1022"/>
      <c r="I23" s="1022"/>
      <c r="J23" s="1022"/>
      <c r="K23" s="355"/>
      <c r="L23" s="354"/>
      <c r="O23" s="1" t="s">
        <v>181</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59" t="s">
        <v>130</v>
      </c>
      <c r="C2" s="1060"/>
      <c r="D2" s="1060"/>
      <c r="E2" s="1061"/>
      <c r="F2" s="78"/>
    </row>
    <row r="3" spans="2:6" s="80" customFormat="1" ht="12.75" customHeight="1">
      <c r="B3" s="79"/>
      <c r="C3" s="79"/>
      <c r="D3" s="79"/>
      <c r="E3" s="79"/>
      <c r="F3" s="78"/>
    </row>
    <row r="4" spans="2:6" ht="21" customHeight="1">
      <c r="B4" s="1062" t="s">
        <v>149</v>
      </c>
      <c r="C4" s="1062"/>
      <c r="D4" s="1062"/>
      <c r="E4" s="1062"/>
      <c r="F4" s="78"/>
    </row>
    <row r="5" spans="2:6" ht="13.5" customHeight="1">
      <c r="B5" s="81"/>
      <c r="C5" s="81"/>
      <c r="D5" s="81"/>
      <c r="E5" s="81"/>
      <c r="F5" s="81"/>
    </row>
    <row r="6" spans="2:6" ht="24.95" customHeight="1">
      <c r="D6" s="82" t="s">
        <v>131</v>
      </c>
      <c r="E6" s="83">
        <f>【共通】!C5</f>
        <v>0</v>
      </c>
      <c r="F6" s="84"/>
    </row>
    <row r="7" spans="2:6" ht="24.95" customHeight="1">
      <c r="D7" s="82" t="s">
        <v>132</v>
      </c>
      <c r="E7" s="283" t="s">
        <v>122</v>
      </c>
      <c r="F7" s="84"/>
    </row>
    <row r="8" spans="2:6">
      <c r="F8" s="84"/>
    </row>
    <row r="9" spans="2:6" ht="26.25" customHeight="1">
      <c r="B9" s="85" t="s">
        <v>133</v>
      </c>
      <c r="C9" s="86" t="s">
        <v>134</v>
      </c>
      <c r="D9" s="1067" t="s">
        <v>135</v>
      </c>
      <c r="E9" s="1068"/>
      <c r="F9" s="84"/>
    </row>
    <row r="10" spans="2:6" ht="60" customHeight="1">
      <c r="B10" s="87" t="s">
        <v>136</v>
      </c>
      <c r="C10" s="74"/>
      <c r="D10" s="1063"/>
      <c r="E10" s="1064"/>
      <c r="F10" s="84"/>
    </row>
    <row r="11" spans="2:6" ht="60" customHeight="1">
      <c r="B11" s="87" t="s">
        <v>137</v>
      </c>
      <c r="C11" s="74"/>
      <c r="D11" s="1065"/>
      <c r="E11" s="1064"/>
      <c r="F11" s="84"/>
    </row>
    <row r="12" spans="2:6" ht="60" customHeight="1">
      <c r="B12" s="87" t="s">
        <v>138</v>
      </c>
      <c r="C12" s="74"/>
      <c r="D12" s="1065"/>
      <c r="E12" s="1064"/>
      <c r="F12" s="84"/>
    </row>
    <row r="13" spans="2:6" ht="60" customHeight="1">
      <c r="B13" s="87" t="s">
        <v>139</v>
      </c>
      <c r="C13" s="74"/>
      <c r="D13" s="1065"/>
      <c r="E13" s="1064"/>
      <c r="F13" s="84"/>
    </row>
    <row r="14" spans="2:6" ht="60" customHeight="1">
      <c r="B14" s="87" t="s">
        <v>140</v>
      </c>
      <c r="C14" s="74"/>
      <c r="D14" s="1065"/>
      <c r="E14" s="1064"/>
      <c r="F14" s="84"/>
    </row>
    <row r="15" spans="2:6" ht="60" customHeight="1">
      <c r="B15" s="87" t="s">
        <v>141</v>
      </c>
      <c r="C15" s="74"/>
      <c r="D15" s="1065"/>
      <c r="E15" s="1064"/>
      <c r="F15" s="84"/>
    </row>
    <row r="16" spans="2:6" ht="60" customHeight="1">
      <c r="B16" s="87" t="s">
        <v>142</v>
      </c>
      <c r="C16" s="74"/>
      <c r="D16" s="1065"/>
      <c r="E16" s="1064"/>
      <c r="F16" s="84"/>
    </row>
    <row r="17" spans="2:6" ht="60" customHeight="1">
      <c r="B17" s="88" t="s">
        <v>143</v>
      </c>
      <c r="C17" s="75"/>
      <c r="D17" s="1069" t="s">
        <v>546</v>
      </c>
      <c r="E17" s="1070"/>
      <c r="F17" s="84"/>
    </row>
    <row r="18" spans="2:6" ht="34.5" customHeight="1">
      <c r="B18" s="1066" t="s">
        <v>144</v>
      </c>
      <c r="C18" s="1066"/>
      <c r="D18" s="1066"/>
      <c r="E18" s="1066"/>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topLeftCell="A3" zoomScaleNormal="100" zoomScaleSheetLayoutView="100" workbookViewId="0">
      <selection activeCell="C7" sqref="C7:H7"/>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1126" t="s">
        <v>473</v>
      </c>
      <c r="B1" s="1126"/>
      <c r="C1" s="1126"/>
      <c r="D1" s="1126"/>
      <c r="E1" s="1126"/>
      <c r="F1" s="1126"/>
      <c r="G1" s="1126"/>
      <c r="H1" s="1126"/>
    </row>
    <row r="2" spans="1:13" ht="45.75" customHeight="1">
      <c r="A2" s="1127" t="s">
        <v>474</v>
      </c>
      <c r="B2" s="1127"/>
      <c r="C2" s="1127"/>
      <c r="D2" s="1127"/>
      <c r="E2" s="1127"/>
      <c r="F2" s="1127"/>
      <c r="G2" s="1127"/>
      <c r="H2" s="1127"/>
    </row>
    <row r="3" spans="1:13" ht="21.75" customHeight="1">
      <c r="A3" s="368" t="s">
        <v>475</v>
      </c>
      <c r="B3" s="369"/>
      <c r="C3" s="369"/>
      <c r="D3" s="369"/>
      <c r="E3" s="369"/>
      <c r="F3" s="369"/>
      <c r="G3" s="369"/>
      <c r="H3" s="369"/>
    </row>
    <row r="4" spans="1:13" ht="18" customHeight="1">
      <c r="A4" s="1113" t="s">
        <v>476</v>
      </c>
      <c r="B4" s="1113"/>
      <c r="C4" s="370" t="s">
        <v>477</v>
      </c>
      <c r="D4" s="371" t="s">
        <v>478</v>
      </c>
      <c r="E4" s="1114" t="s">
        <v>479</v>
      </c>
      <c r="F4" s="1114"/>
      <c r="G4" s="1114"/>
      <c r="H4" s="1114"/>
      <c r="J4" t="s">
        <v>100</v>
      </c>
      <c r="K4" t="s">
        <v>480</v>
      </c>
      <c r="L4" t="s">
        <v>481</v>
      </c>
      <c r="M4" t="s">
        <v>482</v>
      </c>
    </row>
    <row r="5" spans="1:13" ht="18" customHeight="1">
      <c r="A5" s="1113" t="s">
        <v>471</v>
      </c>
      <c r="B5" s="1113"/>
      <c r="C5" s="372"/>
      <c r="D5" s="371" t="s">
        <v>470</v>
      </c>
      <c r="E5" s="1114"/>
      <c r="F5" s="1114"/>
      <c r="G5" s="1114"/>
      <c r="H5" s="1114"/>
      <c r="J5" t="s">
        <v>483</v>
      </c>
      <c r="K5" t="s">
        <v>484</v>
      </c>
      <c r="L5" t="s">
        <v>485</v>
      </c>
      <c r="M5" t="s">
        <v>486</v>
      </c>
    </row>
    <row r="6" spans="1:13" ht="18" customHeight="1">
      <c r="A6" s="1113" t="s">
        <v>487</v>
      </c>
      <c r="B6" s="1113"/>
      <c r="C6" s="373"/>
      <c r="D6" s="371" t="s">
        <v>469</v>
      </c>
      <c r="E6" s="1114" t="s">
        <v>488</v>
      </c>
      <c r="F6" s="1114"/>
      <c r="G6" s="1114"/>
      <c r="H6" s="1114"/>
      <c r="J6" t="s">
        <v>489</v>
      </c>
    </row>
    <row r="7" spans="1:13" ht="47.25" customHeight="1">
      <c r="A7" s="1113" t="s">
        <v>490</v>
      </c>
      <c r="B7" s="1113"/>
      <c r="C7" s="1115" t="s">
        <v>773</v>
      </c>
      <c r="D7" s="1116"/>
      <c r="E7" s="1116"/>
      <c r="F7" s="1116"/>
      <c r="G7" s="1116"/>
      <c r="H7" s="1117"/>
    </row>
    <row r="8" spans="1:13" ht="18" customHeight="1"/>
    <row r="9" spans="1:13" ht="18" customHeight="1">
      <c r="A9" s="374" t="s">
        <v>468</v>
      </c>
      <c r="B9" s="374" t="s">
        <v>467</v>
      </c>
      <c r="C9" s="1118" t="s">
        <v>491</v>
      </c>
      <c r="D9" s="1119"/>
      <c r="E9" s="1120" t="s">
        <v>492</v>
      </c>
      <c r="F9" s="1121"/>
      <c r="G9" s="375" t="s">
        <v>493</v>
      </c>
      <c r="H9" s="374" t="s">
        <v>466</v>
      </c>
    </row>
    <row r="10" spans="1:13" ht="24" customHeight="1">
      <c r="A10" s="1106" t="s">
        <v>494</v>
      </c>
      <c r="B10" s="1086" t="s">
        <v>463</v>
      </c>
      <c r="C10" s="1091" t="s">
        <v>495</v>
      </c>
      <c r="D10" s="1107"/>
      <c r="E10" s="376" t="s">
        <v>496</v>
      </c>
      <c r="F10" s="377"/>
      <c r="G10" s="1086"/>
      <c r="H10" s="1079" t="s">
        <v>497</v>
      </c>
    </row>
    <row r="11" spans="1:13" ht="24" customHeight="1">
      <c r="A11" s="1085"/>
      <c r="B11" s="1088"/>
      <c r="C11" s="1108"/>
      <c r="D11" s="1109"/>
      <c r="E11" s="378" t="s">
        <v>498</v>
      </c>
      <c r="F11" s="379"/>
      <c r="G11" s="1088"/>
      <c r="H11" s="1081"/>
    </row>
    <row r="12" spans="1:13" ht="24" customHeight="1">
      <c r="A12" s="1106" t="s">
        <v>499</v>
      </c>
      <c r="B12" s="380"/>
      <c r="C12" s="1110" t="s">
        <v>500</v>
      </c>
      <c r="D12" s="1111"/>
      <c r="E12" s="1091"/>
      <c r="F12" s="1092"/>
      <c r="G12" s="381"/>
      <c r="H12" s="1079" t="s">
        <v>501</v>
      </c>
    </row>
    <row r="13" spans="1:13" ht="24" customHeight="1">
      <c r="A13" s="1084"/>
      <c r="B13" s="1112" t="s">
        <v>463</v>
      </c>
      <c r="C13" s="382" t="s">
        <v>465</v>
      </c>
      <c r="D13" s="383"/>
      <c r="E13" s="1122"/>
      <c r="F13" s="1123"/>
      <c r="G13" s="381"/>
      <c r="H13" s="1080"/>
    </row>
    <row r="14" spans="1:13" ht="24" customHeight="1">
      <c r="A14" s="1084"/>
      <c r="B14" s="1087"/>
      <c r="C14" s="1124" t="s">
        <v>502</v>
      </c>
      <c r="D14" s="1125"/>
      <c r="E14" s="1071"/>
      <c r="F14" s="1072"/>
      <c r="G14" s="384"/>
      <c r="H14" s="1080"/>
    </row>
    <row r="15" spans="1:13" ht="24" customHeight="1">
      <c r="A15" s="1084"/>
      <c r="B15" s="1087"/>
      <c r="C15" s="417"/>
      <c r="D15" s="385"/>
      <c r="E15" s="386" t="s">
        <v>503</v>
      </c>
      <c r="F15" s="387"/>
      <c r="G15" s="388"/>
      <c r="H15" s="1080"/>
    </row>
    <row r="16" spans="1:13" ht="24" customHeight="1">
      <c r="A16" s="1084"/>
      <c r="B16" s="1087"/>
      <c r="C16" s="1073" t="s">
        <v>504</v>
      </c>
      <c r="D16" s="1074"/>
      <c r="E16" s="1104"/>
      <c r="F16" s="1105"/>
      <c r="G16" s="389"/>
      <c r="H16" s="1080"/>
    </row>
    <row r="17" spans="1:8" ht="24" customHeight="1">
      <c r="A17" s="1084"/>
      <c r="B17" s="1088"/>
      <c r="C17" s="1082"/>
      <c r="D17" s="1083"/>
      <c r="E17" s="386" t="s">
        <v>503</v>
      </c>
      <c r="F17" s="387"/>
      <c r="G17" s="389"/>
      <c r="H17" s="1081"/>
    </row>
    <row r="18" spans="1:8" ht="24" customHeight="1">
      <c r="A18" s="1084"/>
      <c r="B18" s="1086" t="s">
        <v>505</v>
      </c>
      <c r="C18" s="1102" t="s">
        <v>464</v>
      </c>
      <c r="D18" s="1103"/>
      <c r="E18" s="1091"/>
      <c r="F18" s="1092"/>
      <c r="G18" s="390"/>
      <c r="H18" s="1079" t="s">
        <v>506</v>
      </c>
    </row>
    <row r="19" spans="1:8" ht="24" customHeight="1">
      <c r="A19" s="1084"/>
      <c r="B19" s="1087"/>
      <c r="C19" s="1073" t="s">
        <v>507</v>
      </c>
      <c r="D19" s="1074"/>
      <c r="E19" s="1071"/>
      <c r="F19" s="1072"/>
      <c r="G19" s="391"/>
      <c r="H19" s="1080"/>
    </row>
    <row r="20" spans="1:8" ht="24" customHeight="1">
      <c r="A20" s="1084"/>
      <c r="B20" s="1088"/>
      <c r="C20" s="1082"/>
      <c r="D20" s="1083"/>
      <c r="E20" s="386" t="s">
        <v>503</v>
      </c>
      <c r="F20" s="387"/>
      <c r="G20" s="392"/>
      <c r="H20" s="1081"/>
    </row>
    <row r="21" spans="1:8" ht="24" customHeight="1">
      <c r="A21" s="1084"/>
      <c r="B21" s="1087" t="s">
        <v>508</v>
      </c>
      <c r="C21" s="1099" t="s">
        <v>509</v>
      </c>
      <c r="D21" s="1100"/>
      <c r="E21" s="393"/>
      <c r="F21" s="394"/>
      <c r="G21" s="395"/>
      <c r="H21" s="1079" t="s">
        <v>510</v>
      </c>
    </row>
    <row r="22" spans="1:8" ht="24" customHeight="1">
      <c r="A22" s="1085"/>
      <c r="B22" s="1088"/>
      <c r="C22" s="1095" t="s">
        <v>511</v>
      </c>
      <c r="D22" s="1101"/>
      <c r="E22" s="378" t="s">
        <v>512</v>
      </c>
      <c r="F22" s="396"/>
      <c r="G22" s="397"/>
      <c r="H22" s="1081"/>
    </row>
    <row r="23" spans="1:8" ht="46.5" customHeight="1">
      <c r="A23" s="1106" t="s">
        <v>513</v>
      </c>
      <c r="B23" s="1086" t="s">
        <v>463</v>
      </c>
      <c r="C23" s="1089" t="s">
        <v>514</v>
      </c>
      <c r="D23" s="1090"/>
      <c r="E23" s="393"/>
      <c r="F23" s="398"/>
      <c r="G23" s="390"/>
      <c r="H23" s="1079" t="s">
        <v>515</v>
      </c>
    </row>
    <row r="24" spans="1:8" ht="24" customHeight="1">
      <c r="A24" s="1084"/>
      <c r="B24" s="1087"/>
      <c r="C24" s="1073" t="s">
        <v>516</v>
      </c>
      <c r="D24" s="1074"/>
      <c r="E24" s="399" t="s">
        <v>517</v>
      </c>
      <c r="F24" s="400"/>
      <c r="G24" s="401"/>
      <c r="H24" s="1080"/>
    </row>
    <row r="25" spans="1:8" ht="24" customHeight="1">
      <c r="A25" s="1085"/>
      <c r="B25" s="1088"/>
      <c r="C25" s="1082"/>
      <c r="D25" s="1083"/>
      <c r="E25" s="402" t="s">
        <v>518</v>
      </c>
      <c r="F25" s="403"/>
      <c r="G25" s="392"/>
      <c r="H25" s="1081"/>
    </row>
    <row r="26" spans="1:8" ht="24" customHeight="1">
      <c r="A26" s="1106" t="s">
        <v>519</v>
      </c>
      <c r="B26" s="1086" t="s">
        <v>463</v>
      </c>
      <c r="C26" s="1091" t="s">
        <v>520</v>
      </c>
      <c r="D26" s="1107"/>
      <c r="E26" s="399" t="s">
        <v>517</v>
      </c>
      <c r="F26" s="400"/>
      <c r="G26" s="381"/>
      <c r="H26" s="404"/>
    </row>
    <row r="27" spans="1:8" ht="24" customHeight="1">
      <c r="A27" s="1085"/>
      <c r="B27" s="1088"/>
      <c r="C27" s="1108"/>
      <c r="D27" s="1109"/>
      <c r="E27" s="402" t="s">
        <v>518</v>
      </c>
      <c r="F27" s="403"/>
      <c r="G27" s="381"/>
      <c r="H27" s="404"/>
    </row>
    <row r="28" spans="1:8" ht="37.5" customHeight="1">
      <c r="A28" s="1084" t="s">
        <v>521</v>
      </c>
      <c r="B28" s="1086" t="s">
        <v>463</v>
      </c>
      <c r="C28" s="1089" t="s">
        <v>522</v>
      </c>
      <c r="D28" s="1090"/>
      <c r="E28" s="1091"/>
      <c r="F28" s="1092"/>
      <c r="G28" s="390"/>
      <c r="H28" s="1079" t="s">
        <v>523</v>
      </c>
    </row>
    <row r="29" spans="1:8" ht="24" customHeight="1">
      <c r="A29" s="1084"/>
      <c r="B29" s="1087"/>
      <c r="C29" s="1077" t="s">
        <v>524</v>
      </c>
      <c r="D29" s="1078"/>
      <c r="E29" s="1093"/>
      <c r="F29" s="1094"/>
      <c r="G29" s="405"/>
      <c r="H29" s="1080"/>
    </row>
    <row r="30" spans="1:8" ht="24" customHeight="1">
      <c r="A30" s="1084"/>
      <c r="B30" s="1087"/>
      <c r="C30" s="1077" t="s">
        <v>525</v>
      </c>
      <c r="D30" s="1078"/>
      <c r="E30" s="1071"/>
      <c r="F30" s="1072"/>
      <c r="G30" s="405"/>
      <c r="H30" s="1080"/>
    </row>
    <row r="31" spans="1:8" ht="24" customHeight="1">
      <c r="A31" s="1084"/>
      <c r="B31" s="1087"/>
      <c r="C31" s="1077" t="s">
        <v>526</v>
      </c>
      <c r="D31" s="1078"/>
      <c r="E31" s="1071"/>
      <c r="F31" s="1072"/>
      <c r="G31" s="405"/>
      <c r="H31" s="1080"/>
    </row>
    <row r="32" spans="1:8" ht="24" customHeight="1">
      <c r="A32" s="1084"/>
      <c r="B32" s="1087"/>
      <c r="C32" s="1077" t="s">
        <v>527</v>
      </c>
      <c r="D32" s="1078"/>
      <c r="E32" s="1071"/>
      <c r="F32" s="1072"/>
      <c r="G32" s="405"/>
      <c r="H32" s="1080"/>
    </row>
    <row r="33" spans="1:8" ht="24" customHeight="1">
      <c r="A33" s="1084"/>
      <c r="B33" s="1087"/>
      <c r="C33" s="1073" t="s">
        <v>528</v>
      </c>
      <c r="D33" s="1074"/>
      <c r="E33" s="1071"/>
      <c r="F33" s="1072"/>
      <c r="G33" s="406"/>
      <c r="H33" s="1080"/>
    </row>
    <row r="34" spans="1:8" ht="24" customHeight="1">
      <c r="A34" s="1084"/>
      <c r="B34" s="1087"/>
      <c r="C34" s="1075"/>
      <c r="D34" s="1076"/>
      <c r="E34" s="407" t="s">
        <v>529</v>
      </c>
      <c r="F34" s="408"/>
      <c r="G34" s="409"/>
      <c r="H34" s="1080"/>
    </row>
    <row r="35" spans="1:8" ht="24" customHeight="1">
      <c r="A35" s="1084"/>
      <c r="B35" s="1087"/>
      <c r="C35" s="1077" t="s">
        <v>530</v>
      </c>
      <c r="D35" s="1078"/>
      <c r="E35" s="1071"/>
      <c r="F35" s="1072"/>
      <c r="G35" s="405"/>
      <c r="H35" s="1080"/>
    </row>
    <row r="36" spans="1:8" ht="107.25" customHeight="1">
      <c r="A36" s="1085"/>
      <c r="B36" s="1088"/>
      <c r="C36" s="1095" t="s">
        <v>531</v>
      </c>
      <c r="D36" s="1096"/>
      <c r="E36" s="1097"/>
      <c r="F36" s="1098"/>
      <c r="G36" s="410"/>
      <c r="H36" s="1081"/>
    </row>
    <row r="37" spans="1:8">
      <c r="A37" s="411"/>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0"/>
  <sheetViews>
    <sheetView tabSelected="1" view="pageBreakPreview" zoomScaleNormal="100" zoomScaleSheetLayoutView="100" workbookViewId="0">
      <selection activeCell="B3" sqref="B3"/>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598" t="s">
        <v>330</v>
      </c>
      <c r="B1" s="598"/>
      <c r="C1" s="589"/>
      <c r="D1" s="589"/>
      <c r="E1" s="13"/>
    </row>
    <row r="2" spans="1:5" ht="19.5" customHeight="1" thickBot="1">
      <c r="A2" s="599"/>
      <c r="B2" s="599"/>
      <c r="C2" s="15"/>
      <c r="D2" s="16"/>
      <c r="E2" s="13"/>
    </row>
    <row r="3" spans="1:5" ht="20.25" customHeight="1">
      <c r="A3" s="121">
        <v>1</v>
      </c>
      <c r="B3" s="120" t="s">
        <v>33</v>
      </c>
      <c r="C3" s="118"/>
      <c r="D3" s="119"/>
    </row>
    <row r="4" spans="1:5" s="18" customFormat="1" ht="60" customHeight="1">
      <c r="A4" s="590" t="s">
        <v>34</v>
      </c>
      <c r="B4" s="591"/>
      <c r="C4" s="591"/>
      <c r="D4" s="592"/>
    </row>
    <row r="5" spans="1:5" ht="21.75" customHeight="1">
      <c r="A5" s="19"/>
      <c r="B5" s="20"/>
      <c r="C5" s="593" t="s">
        <v>35</v>
      </c>
      <c r="D5" s="594"/>
    </row>
    <row r="6" spans="1:5" ht="21.75" customHeight="1">
      <c r="A6" s="19" t="s">
        <v>36</v>
      </c>
      <c r="B6" s="21" t="s">
        <v>37</v>
      </c>
      <c r="C6" s="22" t="s">
        <v>38</v>
      </c>
      <c r="D6" s="23" t="s">
        <v>39</v>
      </c>
    </row>
    <row r="7" spans="1:5" ht="21.75" customHeight="1">
      <c r="A7" s="19"/>
      <c r="B7" s="21" t="s">
        <v>40</v>
      </c>
      <c r="C7" s="24"/>
      <c r="D7" s="25"/>
    </row>
    <row r="8" spans="1:5" ht="21.75" customHeight="1">
      <c r="A8" s="19"/>
      <c r="B8" s="21" t="s">
        <v>777</v>
      </c>
      <c r="C8" s="24"/>
      <c r="D8" s="25"/>
    </row>
    <row r="9" spans="1:5" ht="21.75" customHeight="1">
      <c r="A9" s="19"/>
      <c r="B9" s="21" t="s">
        <v>542</v>
      </c>
      <c r="C9" s="24"/>
      <c r="D9" s="25"/>
    </row>
    <row r="10" spans="1:5" ht="21.75" customHeight="1">
      <c r="A10" s="19"/>
      <c r="B10" s="21" t="s">
        <v>543</v>
      </c>
      <c r="C10" s="24"/>
      <c r="D10" s="25"/>
    </row>
    <row r="11" spans="1:5" ht="21.75" customHeight="1">
      <c r="A11" s="19"/>
      <c r="B11" s="21" t="s">
        <v>544</v>
      </c>
      <c r="C11" s="24"/>
      <c r="D11" s="25"/>
    </row>
    <row r="12" spans="1:5" ht="21.75" customHeight="1">
      <c r="A12" s="19"/>
      <c r="B12" s="21" t="s">
        <v>778</v>
      </c>
      <c r="C12" s="24"/>
      <c r="D12" s="25"/>
    </row>
    <row r="13" spans="1:5" ht="21.75" customHeight="1">
      <c r="A13" s="19"/>
      <c r="B13" s="21" t="s">
        <v>536</v>
      </c>
      <c r="C13" s="24"/>
      <c r="D13" s="25"/>
    </row>
    <row r="14" spans="1:5" ht="21.75" customHeight="1">
      <c r="A14" s="19"/>
      <c r="B14" s="21" t="s">
        <v>537</v>
      </c>
      <c r="C14" s="24"/>
      <c r="D14" s="25"/>
    </row>
    <row r="15" spans="1:5" ht="21.75" customHeight="1">
      <c r="A15" s="19"/>
      <c r="B15" s="21" t="s">
        <v>538</v>
      </c>
      <c r="C15" s="24"/>
      <c r="D15" s="25"/>
    </row>
    <row r="16" spans="1:5" ht="21.75" customHeight="1">
      <c r="A16" s="19"/>
      <c r="B16" s="21" t="s">
        <v>539</v>
      </c>
      <c r="C16" s="24"/>
      <c r="D16" s="25"/>
    </row>
    <row r="17" spans="1:5" ht="21.75" customHeight="1">
      <c r="A17" s="19"/>
      <c r="B17" s="21" t="s">
        <v>540</v>
      </c>
      <c r="C17" s="24"/>
      <c r="D17" s="25"/>
    </row>
    <row r="18" spans="1:5" ht="21.75" customHeight="1">
      <c r="A18" s="19" t="s">
        <v>41</v>
      </c>
      <c r="B18" s="21" t="s">
        <v>42</v>
      </c>
      <c r="C18" s="24"/>
      <c r="D18" s="25"/>
    </row>
    <row r="19" spans="1:5" ht="21.75" customHeight="1" thickBot="1">
      <c r="A19" s="26" t="s">
        <v>43</v>
      </c>
      <c r="B19" s="27" t="s">
        <v>44</v>
      </c>
      <c r="C19" s="28"/>
      <c r="D19" s="29"/>
    </row>
    <row r="20" spans="1:5" ht="12" customHeight="1" thickBot="1">
      <c r="A20" s="30"/>
      <c r="B20" s="31"/>
      <c r="C20" s="17"/>
      <c r="D20" s="13"/>
    </row>
    <row r="21" spans="1:5" ht="21.75" customHeight="1">
      <c r="A21" s="32">
        <v>2</v>
      </c>
      <c r="B21" s="33" t="s">
        <v>45</v>
      </c>
      <c r="C21" s="34"/>
      <c r="D21" s="35"/>
    </row>
    <row r="22" spans="1:5" s="18" customFormat="1" ht="150" customHeight="1">
      <c r="A22" s="595" t="s">
        <v>427</v>
      </c>
      <c r="B22" s="596"/>
      <c r="C22" s="596"/>
      <c r="D22" s="597"/>
    </row>
    <row r="23" spans="1:5" ht="21.75" customHeight="1">
      <c r="A23" s="19"/>
      <c r="B23" s="20"/>
      <c r="C23" s="593" t="s">
        <v>35</v>
      </c>
      <c r="D23" s="594"/>
    </row>
    <row r="24" spans="1:5" s="284" customFormat="1" ht="18" customHeight="1">
      <c r="A24" s="19" t="s">
        <v>319</v>
      </c>
      <c r="B24" s="135" t="s">
        <v>320</v>
      </c>
      <c r="C24" s="37" t="s">
        <v>38</v>
      </c>
      <c r="D24" s="38" t="s">
        <v>39</v>
      </c>
      <c r="E24" s="130"/>
    </row>
    <row r="25" spans="1:5" s="289" customFormat="1" ht="22.5" customHeight="1">
      <c r="A25" s="285" t="s">
        <v>321</v>
      </c>
      <c r="B25" s="286" t="s">
        <v>322</v>
      </c>
      <c r="C25" s="134"/>
      <c r="D25" s="287"/>
      <c r="E25" s="288"/>
    </row>
    <row r="26" spans="1:5" s="289" customFormat="1" ht="22.5" customHeight="1">
      <c r="A26" s="285" t="s">
        <v>323</v>
      </c>
      <c r="B26" s="286" t="s">
        <v>324</v>
      </c>
      <c r="C26" s="134"/>
      <c r="D26" s="287"/>
      <c r="E26" s="288"/>
    </row>
    <row r="27" spans="1:5" s="130" customFormat="1" ht="18" customHeight="1">
      <c r="A27" s="19" t="s">
        <v>325</v>
      </c>
      <c r="B27" s="587" t="s">
        <v>326</v>
      </c>
      <c r="C27" s="587"/>
      <c r="D27" s="588"/>
    </row>
    <row r="28" spans="1:5" s="18" customFormat="1" ht="22.5" customHeight="1">
      <c r="A28" s="39" t="s">
        <v>46</v>
      </c>
      <c r="B28" s="36" t="s">
        <v>47</v>
      </c>
      <c r="C28" s="40"/>
      <c r="D28" s="41"/>
    </row>
    <row r="29" spans="1:5" s="18" customFormat="1" ht="22.5" customHeight="1">
      <c r="A29" s="39" t="s">
        <v>48</v>
      </c>
      <c r="B29" s="36" t="s">
        <v>49</v>
      </c>
      <c r="C29" s="40"/>
      <c r="D29" s="41"/>
    </row>
    <row r="30" spans="1:5" s="18" customFormat="1" ht="22.5" customHeight="1">
      <c r="A30" s="39" t="s">
        <v>50</v>
      </c>
      <c r="B30" s="36" t="s">
        <v>51</v>
      </c>
      <c r="C30" s="40"/>
      <c r="D30" s="41"/>
    </row>
    <row r="31" spans="1:5" s="18" customFormat="1" ht="22.5" customHeight="1">
      <c r="A31" s="39" t="s">
        <v>52</v>
      </c>
      <c r="B31" s="36" t="s">
        <v>53</v>
      </c>
      <c r="C31" s="40"/>
      <c r="D31" s="41"/>
    </row>
    <row r="32" spans="1:5" s="18" customFormat="1" ht="22.5" customHeight="1">
      <c r="A32" s="39" t="s">
        <v>54</v>
      </c>
      <c r="B32" s="36" t="s">
        <v>55</v>
      </c>
      <c r="C32" s="40"/>
      <c r="D32" s="41"/>
    </row>
    <row r="33" spans="1:4" s="18" customFormat="1" ht="22.5" customHeight="1">
      <c r="A33" s="39" t="s">
        <v>56</v>
      </c>
      <c r="B33" s="36" t="s">
        <v>57</v>
      </c>
      <c r="C33" s="40"/>
      <c r="D33" s="41"/>
    </row>
    <row r="34" spans="1:4" s="18" customFormat="1" ht="22.5" customHeight="1">
      <c r="A34" s="39" t="s">
        <v>58</v>
      </c>
      <c r="B34" s="36" t="s">
        <v>59</v>
      </c>
      <c r="C34" s="40"/>
      <c r="D34" s="41"/>
    </row>
    <row r="35" spans="1:4" s="18" customFormat="1" ht="22.5" customHeight="1">
      <c r="A35" s="39" t="s">
        <v>60</v>
      </c>
      <c r="B35" s="36" t="s">
        <v>61</v>
      </c>
      <c r="C35" s="40"/>
      <c r="D35" s="41"/>
    </row>
    <row r="36" spans="1:4" s="18" customFormat="1" ht="18" customHeight="1">
      <c r="A36" s="42" t="s">
        <v>43</v>
      </c>
      <c r="B36" s="587" t="s">
        <v>62</v>
      </c>
      <c r="C36" s="587"/>
      <c r="D36" s="588"/>
    </row>
    <row r="37" spans="1:4" s="18" customFormat="1" ht="23.25" customHeight="1">
      <c r="A37" s="39" t="s">
        <v>46</v>
      </c>
      <c r="B37" s="36" t="s">
        <v>63</v>
      </c>
      <c r="C37" s="40"/>
      <c r="D37" s="41"/>
    </row>
    <row r="38" spans="1:4" s="18" customFormat="1" ht="22.5" customHeight="1">
      <c r="A38" s="42" t="s">
        <v>78</v>
      </c>
      <c r="B38" s="587" t="s">
        <v>64</v>
      </c>
      <c r="C38" s="587"/>
      <c r="D38" s="588"/>
    </row>
    <row r="39" spans="1:4" s="18" customFormat="1" ht="22.5" customHeight="1">
      <c r="A39" s="39" t="s">
        <v>46</v>
      </c>
      <c r="B39" s="36" t="s">
        <v>65</v>
      </c>
      <c r="C39" s="40"/>
      <c r="D39" s="41"/>
    </row>
    <row r="40" spans="1:4" s="18" customFormat="1" ht="22.5" customHeight="1">
      <c r="A40" s="39" t="s">
        <v>48</v>
      </c>
      <c r="B40" s="36" t="s">
        <v>428</v>
      </c>
      <c r="C40" s="40"/>
      <c r="D40" s="41"/>
    </row>
    <row r="41" spans="1:4" s="18" customFormat="1" ht="22.5" customHeight="1">
      <c r="A41" s="39" t="s">
        <v>50</v>
      </c>
      <c r="B41" s="36" t="s">
        <v>189</v>
      </c>
      <c r="C41" s="40"/>
      <c r="D41" s="41"/>
    </row>
    <row r="42" spans="1:4" s="18" customFormat="1" ht="22.5" customHeight="1">
      <c r="A42" s="39" t="s">
        <v>52</v>
      </c>
      <c r="B42" s="36" t="s">
        <v>66</v>
      </c>
      <c r="C42" s="40"/>
      <c r="D42" s="41"/>
    </row>
    <row r="43" spans="1:4" s="18" customFormat="1" ht="22.5" customHeight="1">
      <c r="A43" s="39" t="s">
        <v>54</v>
      </c>
      <c r="B43" s="36" t="s">
        <v>191</v>
      </c>
      <c r="C43" s="40"/>
      <c r="D43" s="41"/>
    </row>
    <row r="44" spans="1:4" s="18" customFormat="1" ht="22.5" customHeight="1">
      <c r="A44" s="39" t="s">
        <v>56</v>
      </c>
      <c r="B44" s="36" t="s">
        <v>67</v>
      </c>
      <c r="C44" s="40"/>
      <c r="D44" s="41"/>
    </row>
    <row r="45" spans="1:4" s="122" customFormat="1" ht="22.5" customHeight="1">
      <c r="A45" s="127" t="s">
        <v>58</v>
      </c>
      <c r="B45" s="126" t="s">
        <v>192</v>
      </c>
      <c r="C45" s="124"/>
      <c r="D45" s="123"/>
    </row>
    <row r="46" spans="1:4" s="122" customFormat="1" ht="22.5" customHeight="1">
      <c r="A46" s="127" t="s">
        <v>60</v>
      </c>
      <c r="B46" s="126" t="s">
        <v>193</v>
      </c>
      <c r="C46" s="124"/>
      <c r="D46" s="123"/>
    </row>
    <row r="47" spans="1:4" s="122" customFormat="1" ht="22.5" customHeight="1">
      <c r="A47" s="127" t="s">
        <v>69</v>
      </c>
      <c r="B47" s="126" t="s">
        <v>194</v>
      </c>
      <c r="C47" s="124"/>
      <c r="D47" s="123"/>
    </row>
    <row r="48" spans="1:4" s="18" customFormat="1" ht="22.5" customHeight="1">
      <c r="A48" s="127" t="s">
        <v>71</v>
      </c>
      <c r="B48" s="36" t="s">
        <v>70</v>
      </c>
      <c r="C48" s="40"/>
      <c r="D48" s="41"/>
    </row>
    <row r="49" spans="1:4" s="18" customFormat="1" ht="22.5" customHeight="1">
      <c r="A49" s="127" t="s">
        <v>73</v>
      </c>
      <c r="B49" s="36" t="s">
        <v>72</v>
      </c>
      <c r="C49" s="40"/>
      <c r="D49" s="41"/>
    </row>
    <row r="50" spans="1:4" s="125" customFormat="1" ht="22.5" customHeight="1">
      <c r="A50" s="127" t="s">
        <v>74</v>
      </c>
      <c r="B50" s="131" t="s">
        <v>195</v>
      </c>
      <c r="C50" s="129"/>
      <c r="D50" s="128"/>
    </row>
    <row r="51" spans="1:4" s="18" customFormat="1" ht="22.5" customHeight="1">
      <c r="A51" s="127" t="s">
        <v>188</v>
      </c>
      <c r="B51" s="36" t="s">
        <v>185</v>
      </c>
      <c r="C51" s="40"/>
      <c r="D51" s="41"/>
    </row>
    <row r="52" spans="1:4" s="18" customFormat="1" ht="22.5" customHeight="1">
      <c r="A52" s="127" t="s">
        <v>197</v>
      </c>
      <c r="B52" s="36" t="s">
        <v>75</v>
      </c>
      <c r="C52" s="40"/>
      <c r="D52" s="41"/>
    </row>
    <row r="53" spans="1:4" s="18" customFormat="1" ht="22.5" customHeight="1">
      <c r="A53" s="39" t="s">
        <v>198</v>
      </c>
      <c r="B53" s="36" t="s">
        <v>76</v>
      </c>
      <c r="C53" s="40"/>
      <c r="D53" s="41"/>
    </row>
    <row r="54" spans="1:4" s="130" customFormat="1" ht="22.5" customHeight="1">
      <c r="A54" s="132" t="s">
        <v>199</v>
      </c>
      <c r="B54" s="135" t="s">
        <v>196</v>
      </c>
      <c r="C54" s="134"/>
      <c r="D54" s="133"/>
    </row>
    <row r="55" spans="1:4" s="18" customFormat="1" ht="22.5" customHeight="1">
      <c r="A55" s="39" t="s">
        <v>200</v>
      </c>
      <c r="B55" s="36" t="s">
        <v>77</v>
      </c>
      <c r="C55" s="40"/>
      <c r="D55" s="41"/>
    </row>
    <row r="56" spans="1:4" s="18" customFormat="1" ht="22.5" customHeight="1">
      <c r="A56" s="39" t="s">
        <v>201</v>
      </c>
      <c r="B56" s="36" t="s">
        <v>186</v>
      </c>
      <c r="C56" s="40"/>
      <c r="D56" s="41"/>
    </row>
    <row r="57" spans="1:4" s="18" customFormat="1" ht="22.5" customHeight="1">
      <c r="A57" s="42" t="s">
        <v>327</v>
      </c>
      <c r="B57" s="587" t="s">
        <v>79</v>
      </c>
      <c r="C57" s="587"/>
      <c r="D57" s="588"/>
    </row>
    <row r="58" spans="1:4" s="18" customFormat="1" ht="22.5" customHeight="1">
      <c r="A58" s="39" t="s">
        <v>46</v>
      </c>
      <c r="B58" s="36" t="s">
        <v>80</v>
      </c>
      <c r="C58" s="40"/>
      <c r="D58" s="41"/>
    </row>
    <row r="59" spans="1:4" s="18" customFormat="1" ht="22.5" customHeight="1">
      <c r="A59" s="39" t="s">
        <v>48</v>
      </c>
      <c r="B59" s="36" t="s">
        <v>81</v>
      </c>
      <c r="C59" s="40"/>
      <c r="D59" s="41"/>
    </row>
    <row r="60" spans="1:4" s="18" customFormat="1" ht="22.5" customHeight="1">
      <c r="A60" s="39" t="s">
        <v>50</v>
      </c>
      <c r="B60" s="36" t="s">
        <v>82</v>
      </c>
      <c r="C60" s="40"/>
      <c r="D60" s="41"/>
    </row>
    <row r="61" spans="1:4" s="18" customFormat="1" ht="22.5" customHeight="1">
      <c r="A61" s="39" t="s">
        <v>52</v>
      </c>
      <c r="B61" s="36" t="s">
        <v>83</v>
      </c>
      <c r="C61" s="40"/>
      <c r="D61" s="41"/>
    </row>
    <row r="62" spans="1:4" s="18" customFormat="1" ht="22.5" customHeight="1">
      <c r="A62" s="39" t="s">
        <v>54</v>
      </c>
      <c r="B62" s="36" t="s">
        <v>84</v>
      </c>
      <c r="C62" s="40"/>
      <c r="D62" s="41"/>
    </row>
    <row r="63" spans="1:4" s="18" customFormat="1" ht="22.5" customHeight="1">
      <c r="A63" s="39" t="s">
        <v>56</v>
      </c>
      <c r="B63" s="36" t="s">
        <v>85</v>
      </c>
      <c r="C63" s="40"/>
      <c r="D63" s="41"/>
    </row>
    <row r="64" spans="1:4" s="18" customFormat="1" ht="22.5" customHeight="1">
      <c r="A64" s="39" t="s">
        <v>58</v>
      </c>
      <c r="B64" s="36" t="s">
        <v>86</v>
      </c>
      <c r="C64" s="40"/>
      <c r="D64" s="41"/>
    </row>
    <row r="65" spans="1:4" s="18" customFormat="1" ht="22.5" customHeight="1">
      <c r="A65" s="39" t="s">
        <v>60</v>
      </c>
      <c r="B65" s="36" t="s">
        <v>87</v>
      </c>
      <c r="C65" s="40"/>
      <c r="D65" s="41"/>
    </row>
    <row r="66" spans="1:4" s="18" customFormat="1" ht="22.5" customHeight="1">
      <c r="A66" s="39" t="s">
        <v>69</v>
      </c>
      <c r="B66" s="36" t="s">
        <v>187</v>
      </c>
      <c r="C66" s="40"/>
      <c r="D66" s="41"/>
    </row>
    <row r="67" spans="1:4" s="18" customFormat="1" ht="22.5" customHeight="1">
      <c r="A67" s="39" t="s">
        <v>71</v>
      </c>
      <c r="B67" s="36" t="s">
        <v>88</v>
      </c>
      <c r="C67" s="40"/>
      <c r="D67" s="41"/>
    </row>
    <row r="68" spans="1:4" s="18" customFormat="1" ht="22.5" customHeight="1">
      <c r="A68" s="39" t="s">
        <v>73</v>
      </c>
      <c r="B68" s="36" t="s">
        <v>68</v>
      </c>
      <c r="C68" s="40"/>
      <c r="D68" s="41"/>
    </row>
    <row r="69" spans="1:4" s="18" customFormat="1" ht="22.5" customHeight="1">
      <c r="A69" s="39" t="s">
        <v>74</v>
      </c>
      <c r="B69" s="36" t="s">
        <v>89</v>
      </c>
      <c r="C69" s="40"/>
      <c r="D69" s="41"/>
    </row>
    <row r="70" spans="1:4" s="284" customFormat="1" ht="22.5" customHeight="1" thickBot="1">
      <c r="A70" s="336" t="s">
        <v>188</v>
      </c>
      <c r="B70" s="337" t="s">
        <v>424</v>
      </c>
      <c r="C70" s="134"/>
      <c r="D70" s="338"/>
    </row>
  </sheetData>
  <sheetProtection selectLockedCells="1"/>
  <mergeCells count="10">
    <mergeCell ref="B36:D36"/>
    <mergeCell ref="B38:D38"/>
    <mergeCell ref="B57:D57"/>
    <mergeCell ref="C1:D1"/>
    <mergeCell ref="A4:D4"/>
    <mergeCell ref="C5:D5"/>
    <mergeCell ref="A22:D22"/>
    <mergeCell ref="C23:D23"/>
    <mergeCell ref="A1:B2"/>
    <mergeCell ref="B27:D27"/>
  </mergeCells>
  <phoneticPr fontId="2"/>
  <dataValidations count="1">
    <dataValidation type="list" allowBlank="1" showInputMessage="1" showErrorMessage="1" sqref="C58:C70 C28:C35 C37 C39:C56 C25:C26 C7:C19">
      <formula1>"○"</formula1>
    </dataValidation>
  </dataValidations>
  <pageMargins left="0.7" right="0.7" top="0.75" bottom="0.75" header="0.3" footer="0.3"/>
  <pageSetup paperSize="9" scale="83" fitToHeight="0" orientation="portrait" r:id="rId1"/>
  <rowBreaks count="2" manualBreakCount="2">
    <brk id="20"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R9" sqref="R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27" t="s">
        <v>90</v>
      </c>
      <c r="N1" s="628"/>
      <c r="O1" s="628"/>
      <c r="P1" s="622"/>
      <c r="Q1" s="622"/>
      <c r="R1" s="622"/>
      <c r="S1" s="622"/>
      <c r="T1" s="622"/>
    </row>
    <row r="2" spans="2:23" ht="9.9499999999999993" customHeight="1">
      <c r="M2" s="45"/>
      <c r="N2" s="46"/>
      <c r="O2" s="46"/>
      <c r="P2" s="46"/>
      <c r="Q2" s="46"/>
      <c r="R2" s="46"/>
      <c r="S2" s="46"/>
      <c r="T2" s="46"/>
    </row>
    <row r="3" spans="2:23" ht="30" customHeight="1">
      <c r="B3" s="629" t="s">
        <v>91</v>
      </c>
      <c r="C3" s="629"/>
      <c r="D3" s="629"/>
      <c r="E3" s="629"/>
      <c r="F3" s="629"/>
      <c r="G3" s="629"/>
      <c r="H3" s="629"/>
      <c r="I3" s="629"/>
      <c r="J3" s="629"/>
      <c r="K3" s="629"/>
      <c r="L3" s="629"/>
      <c r="M3" s="629"/>
      <c r="N3" s="629"/>
      <c r="O3" s="629"/>
      <c r="P3" s="629"/>
      <c r="Q3" s="629"/>
      <c r="R3" s="629"/>
      <c r="S3" s="629"/>
      <c r="T3" s="629"/>
    </row>
    <row r="4" spans="2:23">
      <c r="J4" s="110"/>
      <c r="K4" s="110"/>
      <c r="L4" s="630" t="s">
        <v>92</v>
      </c>
      <c r="M4" s="630"/>
      <c r="N4" s="113">
        <v>7</v>
      </c>
      <c r="O4" s="114" t="s">
        <v>27</v>
      </c>
      <c r="P4" s="115" t="str">
        <f>IF(P9="","",MONTH(EOMONTH(DATE(SUM(2018+N9),P9,R9),-1)))</f>
        <v/>
      </c>
      <c r="Q4" s="114" t="s">
        <v>4</v>
      </c>
      <c r="R4" s="115" t="str">
        <f>IF(P4="","",20)</f>
        <v/>
      </c>
      <c r="S4" s="116" t="s">
        <v>93</v>
      </c>
      <c r="T4" s="117"/>
    </row>
    <row r="5" spans="2:23" ht="35.25" customHeight="1">
      <c r="B5" s="37" t="s">
        <v>94</v>
      </c>
      <c r="C5" s="631"/>
      <c r="D5" s="632"/>
      <c r="E5" s="632"/>
      <c r="F5" s="632"/>
      <c r="G5" s="632"/>
      <c r="H5" s="632"/>
      <c r="I5" s="633"/>
      <c r="J5" s="51" t="s">
        <v>95</v>
      </c>
      <c r="K5" s="51">
        <v>2</v>
      </c>
      <c r="L5" s="51">
        <v>2</v>
      </c>
      <c r="M5" s="224"/>
      <c r="N5" s="224"/>
      <c r="O5" s="224"/>
      <c r="P5" s="224"/>
      <c r="Q5" s="224"/>
      <c r="R5" s="224"/>
      <c r="S5" s="224"/>
      <c r="T5" s="224"/>
    </row>
    <row r="6" spans="2:23" ht="24.95" customHeight="1">
      <c r="B6" s="607" t="s">
        <v>96</v>
      </c>
      <c r="C6" s="615" t="s">
        <v>97</v>
      </c>
      <c r="D6" s="616"/>
      <c r="E6" s="52"/>
      <c r="F6" s="225"/>
      <c r="G6" s="225"/>
      <c r="H6" s="52"/>
      <c r="I6" s="52"/>
      <c r="J6" s="52"/>
      <c r="K6" s="52"/>
      <c r="L6" s="52"/>
      <c r="M6" s="52"/>
      <c r="N6" s="53"/>
      <c r="O6" s="46" t="s">
        <v>98</v>
      </c>
      <c r="P6" s="226"/>
      <c r="Q6" s="46" t="s">
        <v>99</v>
      </c>
      <c r="R6" s="226"/>
      <c r="S6" s="46" t="s">
        <v>99</v>
      </c>
      <c r="T6" s="227"/>
    </row>
    <row r="7" spans="2:23" ht="24.95" customHeight="1">
      <c r="B7" s="609"/>
      <c r="C7" s="54" t="s">
        <v>100</v>
      </c>
      <c r="D7" s="617"/>
      <c r="E7" s="617"/>
      <c r="F7" s="617"/>
      <c r="G7" s="617"/>
      <c r="H7" s="617"/>
      <c r="I7" s="617"/>
      <c r="J7" s="617"/>
      <c r="K7" s="617"/>
      <c r="L7" s="617"/>
      <c r="M7" s="617"/>
      <c r="N7" s="618"/>
      <c r="O7" s="55" t="s">
        <v>101</v>
      </c>
      <c r="P7" s="228"/>
      <c r="Q7" s="55" t="s">
        <v>99</v>
      </c>
      <c r="R7" s="228"/>
      <c r="S7" s="55" t="s">
        <v>99</v>
      </c>
      <c r="T7" s="229"/>
    </row>
    <row r="8" spans="2:23" ht="35.1" customHeight="1">
      <c r="B8" s="100" t="s">
        <v>102</v>
      </c>
      <c r="C8" s="619"/>
      <c r="D8" s="620"/>
      <c r="E8" s="620"/>
      <c r="F8" s="620"/>
      <c r="G8" s="620"/>
      <c r="H8" s="620"/>
      <c r="I8" s="621"/>
      <c r="J8" s="101" t="s">
        <v>154</v>
      </c>
      <c r="K8" s="623"/>
      <c r="L8" s="624"/>
      <c r="M8" s="624"/>
      <c r="N8" s="624"/>
      <c r="O8" s="624"/>
      <c r="P8" s="624"/>
      <c r="Q8" s="624"/>
      <c r="R8" s="624"/>
      <c r="S8" s="624"/>
      <c r="T8" s="625"/>
    </row>
    <row r="9" spans="2:23" ht="33" customHeight="1">
      <c r="B9" s="51" t="s">
        <v>155</v>
      </c>
      <c r="C9" s="622"/>
      <c r="D9" s="622"/>
      <c r="E9" s="622"/>
      <c r="F9" s="622"/>
      <c r="G9" s="622"/>
      <c r="H9" s="622"/>
      <c r="I9" s="622"/>
      <c r="J9" s="51" t="s">
        <v>156</v>
      </c>
      <c r="K9" s="57"/>
      <c r="L9" s="626" t="s">
        <v>106</v>
      </c>
      <c r="M9" s="626"/>
      <c r="N9" s="231">
        <v>7</v>
      </c>
      <c r="O9" s="58" t="s">
        <v>27</v>
      </c>
      <c r="P9" s="232"/>
      <c r="Q9" s="58" t="s">
        <v>4</v>
      </c>
      <c r="R9" s="103"/>
      <c r="S9" s="58" t="s">
        <v>105</v>
      </c>
      <c r="T9" s="60"/>
    </row>
    <row r="10" spans="2:23" ht="33" customHeight="1">
      <c r="B10" s="607" t="s">
        <v>301</v>
      </c>
      <c r="C10" s="601" t="s">
        <v>6</v>
      </c>
      <c r="D10" s="610"/>
      <c r="E10" s="602"/>
      <c r="F10" s="601" t="s">
        <v>203</v>
      </c>
      <c r="G10" s="602"/>
      <c r="H10" s="601" t="s">
        <v>103</v>
      </c>
      <c r="I10" s="602"/>
      <c r="J10" s="607" t="s">
        <v>157</v>
      </c>
      <c r="K10" s="611"/>
      <c r="L10" s="612"/>
      <c r="M10" s="612"/>
      <c r="N10" s="612"/>
      <c r="O10" s="612"/>
      <c r="P10" s="612"/>
      <c r="Q10" s="612"/>
      <c r="R10" s="612"/>
      <c r="S10" s="612"/>
      <c r="T10" s="613"/>
    </row>
    <row r="11" spans="2:23" ht="33" customHeight="1">
      <c r="B11" s="608"/>
      <c r="C11" s="603"/>
      <c r="D11" s="604"/>
      <c r="E11" s="605"/>
      <c r="F11" s="242"/>
      <c r="G11" s="230" t="s">
        <v>5</v>
      </c>
      <c r="H11" s="242"/>
      <c r="I11" s="56" t="s">
        <v>5</v>
      </c>
      <c r="J11" s="608"/>
      <c r="K11" s="57"/>
      <c r="L11" s="614"/>
      <c r="M11" s="614"/>
      <c r="N11" s="231"/>
      <c r="O11" s="58" t="s">
        <v>27</v>
      </c>
      <c r="P11" s="232"/>
      <c r="Q11" s="58" t="s">
        <v>4</v>
      </c>
      <c r="R11" s="59">
        <v>1</v>
      </c>
      <c r="S11" s="58" t="s">
        <v>105</v>
      </c>
      <c r="T11" s="60"/>
      <c r="U11" s="61"/>
      <c r="V11" s="61"/>
      <c r="W11" s="44" t="s">
        <v>104</v>
      </c>
    </row>
    <row r="12" spans="2:23" ht="33" customHeight="1">
      <c r="B12" s="608"/>
      <c r="C12" s="603"/>
      <c r="D12" s="604"/>
      <c r="E12" s="605"/>
      <c r="F12" s="242"/>
      <c r="G12" s="230" t="s">
        <v>5</v>
      </c>
      <c r="H12" s="242"/>
      <c r="I12" s="56" t="s">
        <v>5</v>
      </c>
      <c r="J12" s="608"/>
      <c r="K12" s="57"/>
      <c r="L12" s="614"/>
      <c r="M12" s="614"/>
      <c r="N12" s="231"/>
      <c r="O12" s="58" t="s">
        <v>27</v>
      </c>
      <c r="P12" s="232"/>
      <c r="Q12" s="58" t="s">
        <v>4</v>
      </c>
      <c r="R12" s="59">
        <v>1</v>
      </c>
      <c r="S12" s="58" t="s">
        <v>105</v>
      </c>
      <c r="T12" s="60"/>
      <c r="U12" s="61"/>
      <c r="V12" s="61"/>
      <c r="W12" s="44" t="s">
        <v>106</v>
      </c>
    </row>
    <row r="13" spans="2:23" ht="33" customHeight="1">
      <c r="B13" s="608"/>
      <c r="C13" s="603"/>
      <c r="D13" s="604"/>
      <c r="E13" s="605"/>
      <c r="F13" s="242"/>
      <c r="G13" s="230" t="s">
        <v>5</v>
      </c>
      <c r="H13" s="242"/>
      <c r="I13" s="56" t="s">
        <v>5</v>
      </c>
      <c r="J13" s="608"/>
      <c r="K13" s="57"/>
      <c r="L13" s="614"/>
      <c r="M13" s="614"/>
      <c r="N13" s="231"/>
      <c r="O13" s="58" t="s">
        <v>27</v>
      </c>
      <c r="P13" s="232"/>
      <c r="Q13" s="58" t="s">
        <v>4</v>
      </c>
      <c r="R13" s="59">
        <v>1</v>
      </c>
      <c r="S13" s="58" t="s">
        <v>105</v>
      </c>
      <c r="T13" s="60"/>
      <c r="U13" s="61"/>
      <c r="V13" s="61"/>
    </row>
    <row r="14" spans="2:23" ht="33" customHeight="1">
      <c r="B14" s="608"/>
      <c r="C14" s="603"/>
      <c r="D14" s="604"/>
      <c r="E14" s="605"/>
      <c r="F14" s="242"/>
      <c r="G14" s="230" t="s">
        <v>5</v>
      </c>
      <c r="H14" s="242"/>
      <c r="I14" s="56" t="s">
        <v>5</v>
      </c>
      <c r="J14" s="608"/>
      <c r="K14" s="57"/>
      <c r="L14" s="614"/>
      <c r="M14" s="614"/>
      <c r="N14" s="231"/>
      <c r="O14" s="58" t="s">
        <v>27</v>
      </c>
      <c r="P14" s="232"/>
      <c r="Q14" s="58" t="s">
        <v>4</v>
      </c>
      <c r="R14" s="59">
        <v>1</v>
      </c>
      <c r="S14" s="58" t="s">
        <v>105</v>
      </c>
      <c r="T14" s="60"/>
      <c r="U14" s="61"/>
      <c r="V14" s="61"/>
    </row>
    <row r="15" spans="2:23" ht="33" customHeight="1">
      <c r="B15" s="608"/>
      <c r="C15" s="603"/>
      <c r="D15" s="604"/>
      <c r="E15" s="605"/>
      <c r="F15" s="242"/>
      <c r="G15" s="230" t="s">
        <v>5</v>
      </c>
      <c r="H15" s="242"/>
      <c r="I15" s="56" t="s">
        <v>5</v>
      </c>
      <c r="J15" s="608"/>
      <c r="K15" s="57"/>
      <c r="L15" s="614"/>
      <c r="M15" s="614"/>
      <c r="N15" s="231"/>
      <c r="O15" s="58" t="s">
        <v>27</v>
      </c>
      <c r="P15" s="232"/>
      <c r="Q15" s="58" t="s">
        <v>4</v>
      </c>
      <c r="R15" s="59">
        <v>1</v>
      </c>
      <c r="S15" s="58" t="s">
        <v>105</v>
      </c>
      <c r="T15" s="60"/>
      <c r="U15" s="61"/>
      <c r="V15" s="61"/>
    </row>
    <row r="16" spans="2:23" ht="33" customHeight="1">
      <c r="B16" s="609"/>
      <c r="C16" s="603"/>
      <c r="D16" s="604"/>
      <c r="E16" s="605"/>
      <c r="F16" s="242"/>
      <c r="G16" s="230" t="s">
        <v>5</v>
      </c>
      <c r="H16" s="242"/>
      <c r="I16" s="56" t="s">
        <v>5</v>
      </c>
      <c r="J16" s="609"/>
      <c r="K16" s="57"/>
      <c r="L16" s="614"/>
      <c r="M16" s="614"/>
      <c r="N16" s="231"/>
      <c r="O16" s="58" t="s">
        <v>27</v>
      </c>
      <c r="P16" s="232"/>
      <c r="Q16" s="58" t="s">
        <v>4</v>
      </c>
      <c r="R16" s="59">
        <v>1</v>
      </c>
      <c r="S16" s="58" t="s">
        <v>105</v>
      </c>
      <c r="T16" s="60"/>
      <c r="U16" s="61"/>
      <c r="V16" s="61"/>
    </row>
    <row r="17" spans="1:22" ht="33" customHeight="1">
      <c r="B17" s="51" t="s">
        <v>107</v>
      </c>
      <c r="C17" s="600"/>
      <c r="D17" s="600"/>
      <c r="E17" s="600"/>
      <c r="F17" s="600"/>
      <c r="G17" s="600"/>
      <c r="H17" s="600"/>
      <c r="I17" s="600"/>
      <c r="J17" s="37" t="s">
        <v>108</v>
      </c>
      <c r="K17" s="600"/>
      <c r="L17" s="600"/>
      <c r="M17" s="600"/>
      <c r="N17" s="600"/>
      <c r="O17" s="600"/>
      <c r="P17" s="600"/>
      <c r="Q17" s="600"/>
      <c r="R17" s="600"/>
      <c r="S17" s="600"/>
      <c r="T17" s="600"/>
      <c r="U17" s="61"/>
      <c r="V17" s="61"/>
    </row>
    <row r="18" spans="1:22" ht="20.100000000000001" customHeight="1">
      <c r="B18" s="62" t="s">
        <v>150</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151</v>
      </c>
      <c r="D19" s="63"/>
      <c r="E19" s="63"/>
      <c r="F19" s="233"/>
      <c r="G19" s="233"/>
      <c r="H19" s="63"/>
      <c r="I19" s="63"/>
      <c r="J19" s="606" t="s">
        <v>152</v>
      </c>
      <c r="K19" s="606"/>
      <c r="L19" s="606"/>
      <c r="M19" s="606"/>
      <c r="N19" s="606"/>
      <c r="O19" s="63"/>
      <c r="P19" s="63"/>
      <c r="Q19" s="63"/>
      <c r="T19" s="63"/>
      <c r="U19" s="63"/>
      <c r="V19" s="63"/>
    </row>
    <row r="20" spans="1:22" ht="5.0999999999999996" customHeight="1">
      <c r="B20" s="65"/>
      <c r="C20" s="65"/>
      <c r="D20" s="63"/>
      <c r="E20" s="63"/>
      <c r="F20" s="233"/>
      <c r="G20" s="233"/>
      <c r="H20" s="63"/>
      <c r="I20" s="63"/>
      <c r="J20" s="606"/>
      <c r="K20" s="606"/>
      <c r="L20" s="606"/>
      <c r="M20" s="606"/>
      <c r="N20" s="606"/>
      <c r="O20" s="63"/>
      <c r="P20" s="63"/>
      <c r="Q20" s="63"/>
      <c r="T20" s="63"/>
      <c r="U20" s="63"/>
      <c r="V20" s="63"/>
    </row>
    <row r="21" spans="1:22" ht="20.100000000000001" customHeight="1">
      <c r="B21" s="102"/>
      <c r="C21" s="65" t="s">
        <v>153</v>
      </c>
      <c r="D21" s="65"/>
      <c r="E21" s="63"/>
      <c r="F21" s="233"/>
      <c r="G21" s="233"/>
      <c r="H21" s="63"/>
      <c r="I21" s="63"/>
      <c r="J21" s="606"/>
      <c r="K21" s="606"/>
      <c r="L21" s="606"/>
      <c r="M21" s="606"/>
      <c r="N21" s="606"/>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109</v>
      </c>
      <c r="K24" s="67" t="s">
        <v>110</v>
      </c>
      <c r="L24" s="634" t="s">
        <v>106</v>
      </c>
      <c r="M24" s="634"/>
      <c r="N24" s="47"/>
      <c r="O24" s="48" t="s">
        <v>27</v>
      </c>
      <c r="P24" s="49"/>
      <c r="Q24" s="48" t="s">
        <v>4</v>
      </c>
      <c r="R24" s="49"/>
      <c r="S24" s="50" t="s">
        <v>111</v>
      </c>
    </row>
    <row r="25" spans="1:22" ht="38.25" customHeight="1">
      <c r="A25" s="644" t="s">
        <v>112</v>
      </c>
      <c r="B25" s="644"/>
      <c r="C25" s="644"/>
      <c r="D25" s="644"/>
      <c r="E25" s="628" t="s">
        <v>113</v>
      </c>
      <c r="F25" s="628"/>
      <c r="G25" s="628"/>
      <c r="H25" s="628"/>
      <c r="I25" s="628"/>
      <c r="J25" s="628"/>
      <c r="K25" s="628" t="s">
        <v>114</v>
      </c>
      <c r="L25" s="628"/>
      <c r="M25" s="628"/>
      <c r="N25" s="628"/>
      <c r="O25" s="628"/>
      <c r="P25" s="628"/>
      <c r="Q25" s="628"/>
      <c r="R25" s="628"/>
      <c r="S25" s="628"/>
      <c r="T25" s="628"/>
    </row>
    <row r="26" spans="1:22" ht="129.75" customHeight="1">
      <c r="A26" s="635"/>
      <c r="B26" s="636"/>
      <c r="C26" s="636"/>
      <c r="D26" s="637"/>
      <c r="E26" s="645"/>
      <c r="F26" s="646"/>
      <c r="G26" s="646"/>
      <c r="H26" s="646"/>
      <c r="I26" s="646"/>
      <c r="J26" s="647"/>
      <c r="K26" s="645"/>
      <c r="L26" s="646"/>
      <c r="M26" s="646"/>
      <c r="N26" s="646"/>
      <c r="O26" s="646"/>
      <c r="P26" s="646"/>
      <c r="Q26" s="646"/>
      <c r="R26" s="646"/>
      <c r="S26" s="646"/>
      <c r="T26" s="647"/>
    </row>
    <row r="27" spans="1:22">
      <c r="A27" s="638"/>
      <c r="B27" s="639"/>
      <c r="C27" s="639"/>
      <c r="D27" s="640"/>
      <c r="E27" s="648"/>
      <c r="F27" s="649"/>
      <c r="G27" s="649"/>
      <c r="H27" s="649"/>
      <c r="I27" s="649"/>
      <c r="J27" s="650"/>
      <c r="K27" s="648"/>
      <c r="L27" s="649"/>
      <c r="M27" s="649"/>
      <c r="N27" s="649"/>
      <c r="O27" s="649"/>
      <c r="P27" s="649"/>
      <c r="Q27" s="649"/>
      <c r="R27" s="649"/>
      <c r="S27" s="649"/>
      <c r="T27" s="650"/>
    </row>
    <row r="28" spans="1:22">
      <c r="A28" s="638"/>
      <c r="B28" s="639"/>
      <c r="C28" s="639"/>
      <c r="D28" s="640"/>
      <c r="E28" s="648"/>
      <c r="F28" s="649"/>
      <c r="G28" s="649"/>
      <c r="H28" s="649"/>
      <c r="I28" s="649"/>
      <c r="J28" s="650"/>
      <c r="K28" s="648"/>
      <c r="L28" s="649"/>
      <c r="M28" s="649"/>
      <c r="N28" s="649"/>
      <c r="O28" s="649"/>
      <c r="P28" s="649"/>
      <c r="Q28" s="649"/>
      <c r="R28" s="649"/>
      <c r="S28" s="649"/>
      <c r="T28" s="650"/>
    </row>
    <row r="29" spans="1:22" ht="13.5" customHeight="1">
      <c r="A29" s="638"/>
      <c r="B29" s="639"/>
      <c r="C29" s="639"/>
      <c r="D29" s="640"/>
      <c r="E29" s="648"/>
      <c r="F29" s="649"/>
      <c r="G29" s="649"/>
      <c r="H29" s="649"/>
      <c r="I29" s="649"/>
      <c r="J29" s="650"/>
      <c r="K29" s="648"/>
      <c r="L29" s="649"/>
      <c r="M29" s="649"/>
      <c r="N29" s="649"/>
      <c r="O29" s="649"/>
      <c r="P29" s="649"/>
      <c r="Q29" s="649"/>
      <c r="R29" s="649"/>
      <c r="S29" s="649"/>
      <c r="T29" s="650"/>
    </row>
    <row r="30" spans="1:22">
      <c r="A30" s="638"/>
      <c r="B30" s="639"/>
      <c r="C30" s="639"/>
      <c r="D30" s="640"/>
      <c r="E30" s="648"/>
      <c r="F30" s="649"/>
      <c r="G30" s="649"/>
      <c r="H30" s="649"/>
      <c r="I30" s="649"/>
      <c r="J30" s="650"/>
      <c r="K30" s="648"/>
      <c r="L30" s="649"/>
      <c r="M30" s="649"/>
      <c r="N30" s="649"/>
      <c r="O30" s="649"/>
      <c r="P30" s="649"/>
      <c r="Q30" s="649"/>
      <c r="R30" s="649"/>
      <c r="S30" s="649"/>
      <c r="T30" s="650"/>
    </row>
    <row r="31" spans="1:22">
      <c r="A31" s="641"/>
      <c r="B31" s="642"/>
      <c r="C31" s="642"/>
      <c r="D31" s="643"/>
      <c r="E31" s="651"/>
      <c r="F31" s="652"/>
      <c r="G31" s="652"/>
      <c r="H31" s="652"/>
      <c r="I31" s="652"/>
      <c r="J31" s="653"/>
      <c r="K31" s="651"/>
      <c r="L31" s="652"/>
      <c r="M31" s="652"/>
      <c r="N31" s="652"/>
      <c r="O31" s="652"/>
      <c r="P31" s="652"/>
      <c r="Q31" s="652"/>
      <c r="R31" s="652"/>
      <c r="S31" s="652"/>
      <c r="T31" s="653"/>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115</v>
      </c>
      <c r="B33" s="69"/>
      <c r="C33" s="69"/>
      <c r="D33" s="69"/>
      <c r="E33" s="68"/>
      <c r="F33" s="235"/>
      <c r="G33" s="235"/>
      <c r="H33" s="68"/>
      <c r="I33" s="68"/>
      <c r="J33" s="68"/>
      <c r="K33" s="68"/>
      <c r="L33" s="68"/>
      <c r="M33" s="68"/>
      <c r="N33" s="68"/>
      <c r="O33" s="68"/>
      <c r="P33" s="68"/>
      <c r="Q33" s="68"/>
      <c r="R33" s="68"/>
      <c r="S33" s="68"/>
      <c r="T33" s="68"/>
    </row>
    <row r="34" spans="1:20">
      <c r="A34" s="635"/>
      <c r="B34" s="636"/>
      <c r="C34" s="636"/>
      <c r="D34" s="636"/>
      <c r="E34" s="636"/>
      <c r="F34" s="636"/>
      <c r="G34" s="636"/>
      <c r="H34" s="636"/>
      <c r="I34" s="636"/>
      <c r="J34" s="636"/>
      <c r="K34" s="636"/>
      <c r="L34" s="636"/>
      <c r="M34" s="636"/>
      <c r="N34" s="636"/>
      <c r="O34" s="636"/>
      <c r="P34" s="636"/>
      <c r="Q34" s="636"/>
      <c r="R34" s="636"/>
      <c r="S34" s="636"/>
      <c r="T34" s="637"/>
    </row>
    <row r="35" spans="1:20">
      <c r="A35" s="638"/>
      <c r="B35" s="639"/>
      <c r="C35" s="639"/>
      <c r="D35" s="639"/>
      <c r="E35" s="639"/>
      <c r="F35" s="639"/>
      <c r="G35" s="639"/>
      <c r="H35" s="639"/>
      <c r="I35" s="639"/>
      <c r="J35" s="639"/>
      <c r="K35" s="639"/>
      <c r="L35" s="639"/>
      <c r="M35" s="639"/>
      <c r="N35" s="639"/>
      <c r="O35" s="639"/>
      <c r="P35" s="639"/>
      <c r="Q35" s="639"/>
      <c r="R35" s="639"/>
      <c r="S35" s="639"/>
      <c r="T35" s="640"/>
    </row>
    <row r="36" spans="1:20">
      <c r="A36" s="638"/>
      <c r="B36" s="639"/>
      <c r="C36" s="639"/>
      <c r="D36" s="639"/>
      <c r="E36" s="639"/>
      <c r="F36" s="639"/>
      <c r="G36" s="639"/>
      <c r="H36" s="639"/>
      <c r="I36" s="639"/>
      <c r="J36" s="639"/>
      <c r="K36" s="639"/>
      <c r="L36" s="639"/>
      <c r="M36" s="639"/>
      <c r="N36" s="639"/>
      <c r="O36" s="639"/>
      <c r="P36" s="639"/>
      <c r="Q36" s="639"/>
      <c r="R36" s="639"/>
      <c r="S36" s="639"/>
      <c r="T36" s="640"/>
    </row>
    <row r="37" spans="1:20">
      <c r="A37" s="638"/>
      <c r="B37" s="639"/>
      <c r="C37" s="639"/>
      <c r="D37" s="639"/>
      <c r="E37" s="639"/>
      <c r="F37" s="639"/>
      <c r="G37" s="639"/>
      <c r="H37" s="639"/>
      <c r="I37" s="639"/>
      <c r="J37" s="639"/>
      <c r="K37" s="639"/>
      <c r="L37" s="639"/>
      <c r="M37" s="639"/>
      <c r="N37" s="639"/>
      <c r="O37" s="639"/>
      <c r="P37" s="639"/>
      <c r="Q37" s="639"/>
      <c r="R37" s="639"/>
      <c r="S37" s="639"/>
      <c r="T37" s="640"/>
    </row>
    <row r="38" spans="1:20">
      <c r="A38" s="638"/>
      <c r="B38" s="639"/>
      <c r="C38" s="639"/>
      <c r="D38" s="639"/>
      <c r="E38" s="639"/>
      <c r="F38" s="639"/>
      <c r="G38" s="639"/>
      <c r="H38" s="639"/>
      <c r="I38" s="639"/>
      <c r="J38" s="639"/>
      <c r="K38" s="639"/>
      <c r="L38" s="639"/>
      <c r="M38" s="639"/>
      <c r="N38" s="639"/>
      <c r="O38" s="639"/>
      <c r="P38" s="639"/>
      <c r="Q38" s="639"/>
      <c r="R38" s="639"/>
      <c r="S38" s="639"/>
      <c r="T38" s="640"/>
    </row>
    <row r="39" spans="1:20" ht="13.5" customHeight="1">
      <c r="A39" s="638"/>
      <c r="B39" s="639"/>
      <c r="C39" s="639"/>
      <c r="D39" s="639"/>
      <c r="E39" s="639"/>
      <c r="F39" s="639"/>
      <c r="G39" s="639"/>
      <c r="H39" s="639"/>
      <c r="I39" s="639"/>
      <c r="J39" s="639"/>
      <c r="K39" s="639"/>
      <c r="L39" s="639"/>
      <c r="M39" s="639"/>
      <c r="N39" s="639"/>
      <c r="O39" s="639"/>
      <c r="P39" s="639"/>
      <c r="Q39" s="639"/>
      <c r="R39" s="639"/>
      <c r="S39" s="639"/>
      <c r="T39" s="640"/>
    </row>
    <row r="40" spans="1:20">
      <c r="A40" s="638"/>
      <c r="B40" s="639"/>
      <c r="C40" s="639"/>
      <c r="D40" s="639"/>
      <c r="E40" s="639"/>
      <c r="F40" s="639"/>
      <c r="G40" s="639"/>
      <c r="H40" s="639"/>
      <c r="I40" s="639"/>
      <c r="J40" s="639"/>
      <c r="K40" s="639"/>
      <c r="L40" s="639"/>
      <c r="M40" s="639"/>
      <c r="N40" s="639"/>
      <c r="O40" s="639"/>
      <c r="P40" s="639"/>
      <c r="Q40" s="639"/>
      <c r="R40" s="639"/>
      <c r="S40" s="639"/>
      <c r="T40" s="640"/>
    </row>
    <row r="41" spans="1:20">
      <c r="A41" s="638"/>
      <c r="B41" s="639"/>
      <c r="C41" s="639"/>
      <c r="D41" s="639"/>
      <c r="E41" s="639"/>
      <c r="F41" s="639"/>
      <c r="G41" s="639"/>
      <c r="H41" s="639"/>
      <c r="I41" s="639"/>
      <c r="J41" s="639"/>
      <c r="K41" s="639"/>
      <c r="L41" s="639"/>
      <c r="M41" s="639"/>
      <c r="N41" s="639"/>
      <c r="O41" s="639"/>
      <c r="P41" s="639"/>
      <c r="Q41" s="639"/>
      <c r="R41" s="639"/>
      <c r="S41" s="639"/>
      <c r="T41" s="640"/>
    </row>
    <row r="42" spans="1:20">
      <c r="A42" s="638"/>
      <c r="B42" s="639"/>
      <c r="C42" s="639"/>
      <c r="D42" s="639"/>
      <c r="E42" s="639"/>
      <c r="F42" s="639"/>
      <c r="G42" s="639"/>
      <c r="H42" s="639"/>
      <c r="I42" s="639"/>
      <c r="J42" s="639"/>
      <c r="K42" s="639"/>
      <c r="L42" s="639"/>
      <c r="M42" s="639"/>
      <c r="N42" s="639"/>
      <c r="O42" s="639"/>
      <c r="P42" s="639"/>
      <c r="Q42" s="639"/>
      <c r="R42" s="639"/>
      <c r="S42" s="639"/>
      <c r="T42" s="640"/>
    </row>
    <row r="43" spans="1:20">
      <c r="A43" s="638"/>
      <c r="B43" s="639"/>
      <c r="C43" s="639"/>
      <c r="D43" s="639"/>
      <c r="E43" s="639"/>
      <c r="F43" s="639"/>
      <c r="G43" s="639"/>
      <c r="H43" s="639"/>
      <c r="I43" s="639"/>
      <c r="J43" s="639"/>
      <c r="K43" s="639"/>
      <c r="L43" s="639"/>
      <c r="M43" s="639"/>
      <c r="N43" s="639"/>
      <c r="O43" s="639"/>
      <c r="P43" s="639"/>
      <c r="Q43" s="639"/>
      <c r="R43" s="639"/>
      <c r="S43" s="639"/>
      <c r="T43" s="640"/>
    </row>
    <row r="44" spans="1:20">
      <c r="A44" s="638"/>
      <c r="B44" s="639"/>
      <c r="C44" s="639"/>
      <c r="D44" s="639"/>
      <c r="E44" s="639"/>
      <c r="F44" s="639"/>
      <c r="G44" s="639"/>
      <c r="H44" s="639"/>
      <c r="I44" s="639"/>
      <c r="J44" s="639"/>
      <c r="K44" s="639"/>
      <c r="L44" s="639"/>
      <c r="M44" s="639"/>
      <c r="N44" s="639"/>
      <c r="O44" s="639"/>
      <c r="P44" s="639"/>
      <c r="Q44" s="639"/>
      <c r="R44" s="639"/>
      <c r="S44" s="639"/>
      <c r="T44" s="640"/>
    </row>
    <row r="45" spans="1:20">
      <c r="A45" s="638"/>
      <c r="B45" s="639"/>
      <c r="C45" s="639"/>
      <c r="D45" s="639"/>
      <c r="E45" s="639"/>
      <c r="F45" s="639"/>
      <c r="G45" s="639"/>
      <c r="H45" s="639"/>
      <c r="I45" s="639"/>
      <c r="J45" s="639"/>
      <c r="K45" s="639"/>
      <c r="L45" s="639"/>
      <c r="M45" s="639"/>
      <c r="N45" s="639"/>
      <c r="O45" s="639"/>
      <c r="P45" s="639"/>
      <c r="Q45" s="639"/>
      <c r="R45" s="639"/>
      <c r="S45" s="639"/>
      <c r="T45" s="640"/>
    </row>
    <row r="46" spans="1:20">
      <c r="A46" s="638"/>
      <c r="B46" s="639"/>
      <c r="C46" s="639"/>
      <c r="D46" s="639"/>
      <c r="E46" s="639"/>
      <c r="F46" s="639"/>
      <c r="G46" s="639"/>
      <c r="H46" s="639"/>
      <c r="I46" s="639"/>
      <c r="J46" s="639"/>
      <c r="K46" s="639"/>
      <c r="L46" s="639"/>
      <c r="M46" s="639"/>
      <c r="N46" s="639"/>
      <c r="O46" s="639"/>
      <c r="P46" s="639"/>
      <c r="Q46" s="639"/>
      <c r="R46" s="639"/>
      <c r="S46" s="639"/>
      <c r="T46" s="640"/>
    </row>
    <row r="47" spans="1:20">
      <c r="A47" s="641"/>
      <c r="B47" s="642"/>
      <c r="C47" s="642"/>
      <c r="D47" s="642"/>
      <c r="E47" s="642"/>
      <c r="F47" s="642"/>
      <c r="G47" s="642"/>
      <c r="H47" s="642"/>
      <c r="I47" s="642"/>
      <c r="J47" s="642"/>
      <c r="K47" s="642"/>
      <c r="L47" s="642"/>
      <c r="M47" s="642"/>
      <c r="N47" s="642"/>
      <c r="O47" s="642"/>
      <c r="P47" s="642"/>
      <c r="Q47" s="642"/>
      <c r="R47" s="642"/>
      <c r="S47" s="642"/>
      <c r="T47" s="643"/>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116</v>
      </c>
    </row>
    <row r="117" spans="3:3">
      <c r="C117" s="44" t="s">
        <v>117</v>
      </c>
    </row>
    <row r="118" spans="3:3">
      <c r="C118" s="44" t="s">
        <v>316</v>
      </c>
    </row>
    <row r="119" spans="3:3" s="216" customFormat="1">
      <c r="C119" s="216" t="s">
        <v>317</v>
      </c>
    </row>
    <row r="120" spans="3:3" s="216" customFormat="1">
      <c r="C120" s="216" t="s">
        <v>318</v>
      </c>
    </row>
    <row r="121" spans="3:3">
      <c r="C121" s="44" t="s">
        <v>118</v>
      </c>
    </row>
    <row r="122" spans="3:3">
      <c r="C122" s="44" t="s">
        <v>119</v>
      </c>
    </row>
    <row r="123" spans="3:3">
      <c r="C123" s="44" t="s">
        <v>161</v>
      </c>
    </row>
    <row r="124" spans="3:3">
      <c r="C124" s="44" t="s">
        <v>120</v>
      </c>
    </row>
    <row r="125" spans="3:3">
      <c r="C125" s="44" t="s">
        <v>121</v>
      </c>
    </row>
    <row r="126" spans="3:3">
      <c r="C126" s="44" t="s">
        <v>122</v>
      </c>
    </row>
    <row r="127" spans="3:3">
      <c r="C127" s="44" t="s">
        <v>163</v>
      </c>
    </row>
    <row r="128" spans="3:3">
      <c r="C128" s="44" t="s">
        <v>162</v>
      </c>
    </row>
    <row r="129" spans="3:3">
      <c r="C129" s="44" t="s">
        <v>123</v>
      </c>
    </row>
    <row r="130" spans="3:3">
      <c r="C130" s="44" t="s">
        <v>124</v>
      </c>
    </row>
    <row r="131" spans="3:3">
      <c r="C131" s="44" t="s">
        <v>125</v>
      </c>
    </row>
    <row r="132" spans="3:3">
      <c r="C132" s="44" t="s">
        <v>126</v>
      </c>
    </row>
    <row r="133" spans="3:3">
      <c r="C133" s="44" t="s">
        <v>127</v>
      </c>
    </row>
    <row r="134" spans="3:3">
      <c r="C134" s="44" t="s">
        <v>128</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35" customWidth="1"/>
    <col min="2" max="2" width="5.625" style="436" customWidth="1"/>
    <col min="3" max="3" width="1.625" style="436" customWidth="1"/>
    <col min="4" max="4" width="7.625" style="435" customWidth="1"/>
    <col min="5" max="5" width="1.875" style="438" customWidth="1"/>
    <col min="6" max="6" width="7.625" style="435" customWidth="1"/>
    <col min="7" max="7" width="1.625" style="435" customWidth="1"/>
    <col min="8" max="8" width="8.625" style="436" customWidth="1"/>
    <col min="9" max="9" width="1.625" style="435" customWidth="1"/>
    <col min="10" max="10" width="7.625" style="435" customWidth="1"/>
    <col min="11" max="11" width="1.875" style="435" customWidth="1"/>
    <col min="12" max="12" width="7.625" style="435" customWidth="1"/>
    <col min="13" max="13" width="1.625" style="435" customWidth="1"/>
    <col min="14" max="14" width="8.125" style="435" hidden="1" customWidth="1"/>
    <col min="15" max="15" width="1.875" style="438" hidden="1" customWidth="1"/>
    <col min="16" max="16" width="8.125" style="435" hidden="1" customWidth="1"/>
    <col min="17" max="17" width="2.625" style="435" hidden="1" customWidth="1"/>
    <col min="18" max="18" width="7.625" style="435" customWidth="1"/>
    <col min="19" max="19" width="1.875" style="435" customWidth="1"/>
    <col min="20" max="20" width="7.625" style="435" customWidth="1"/>
    <col min="21" max="21" width="1.625" style="435" customWidth="1"/>
    <col min="22" max="22" width="8.625" style="435" customWidth="1"/>
    <col min="23" max="23" width="1.625" style="435" customWidth="1"/>
    <col min="24" max="24" width="7.625" style="435" customWidth="1"/>
    <col min="25" max="25" width="2.625" style="435" customWidth="1"/>
    <col min="26" max="26" width="7.625" style="435" customWidth="1"/>
    <col min="27" max="27" width="1.875" style="438" customWidth="1"/>
    <col min="28" max="28" width="7.625" style="435" customWidth="1"/>
    <col min="29" max="29" width="1.625" style="435" customWidth="1"/>
    <col min="30" max="30" width="8.625" style="435" customWidth="1"/>
    <col min="31" max="31" width="1.625" style="435" customWidth="1"/>
    <col min="32" max="32" width="7.625" style="435" customWidth="1"/>
    <col min="33" max="33" width="2.625" style="435" customWidth="1"/>
    <col min="34" max="34" width="7.625" style="435" customWidth="1"/>
    <col min="35" max="35" width="1.875" style="438" customWidth="1"/>
    <col min="36" max="36" width="7.625" style="435" customWidth="1"/>
    <col min="37" max="37" width="1.625" style="435" customWidth="1"/>
    <col min="38" max="38" width="8.625" style="435" customWidth="1"/>
    <col min="39" max="39" width="1.625" style="435" customWidth="1"/>
    <col min="40" max="40" width="7.625" style="435" customWidth="1"/>
    <col min="41" max="41" width="2.625" style="435" customWidth="1"/>
    <col min="42" max="43" width="9" style="435"/>
    <col min="44" max="44" width="5.625" style="435" customWidth="1"/>
    <col min="45" max="16384" width="9" style="435"/>
  </cols>
  <sheetData>
    <row r="1" spans="2:44" ht="15" customHeight="1">
      <c r="B1" s="586" t="s">
        <v>776</v>
      </c>
      <c r="C1" s="584"/>
      <c r="D1" s="584"/>
      <c r="E1" s="583"/>
      <c r="H1" s="585"/>
      <c r="J1" s="585"/>
      <c r="M1" s="437"/>
      <c r="O1" s="436"/>
      <c r="V1" s="656"/>
      <c r="W1" s="656"/>
      <c r="X1" s="656"/>
    </row>
    <row r="2" spans="2:44" ht="7.5" customHeight="1">
      <c r="B2" s="439"/>
      <c r="C2" s="439"/>
      <c r="D2" s="439"/>
      <c r="E2" s="434"/>
      <c r="M2" s="437"/>
      <c r="O2" s="436"/>
      <c r="V2" s="436"/>
      <c r="W2" s="436"/>
      <c r="X2" s="436"/>
    </row>
    <row r="3" spans="2:44" ht="7.5" customHeight="1">
      <c r="B3" s="439"/>
      <c r="C3" s="440"/>
      <c r="D3" s="440"/>
      <c r="E3" s="441"/>
      <c r="F3" s="442"/>
      <c r="G3" s="442"/>
      <c r="H3" s="443"/>
      <c r="I3" s="444"/>
      <c r="J3" s="444"/>
      <c r="K3" s="445"/>
      <c r="L3" s="446"/>
      <c r="M3" s="446"/>
      <c r="O3" s="436"/>
      <c r="V3" s="436"/>
      <c r="W3" s="436"/>
      <c r="X3" s="436"/>
    </row>
    <row r="4" spans="2:44" ht="15" customHeight="1">
      <c r="B4" s="439"/>
      <c r="C4" s="440"/>
      <c r="D4" s="657" t="s">
        <v>566</v>
      </c>
      <c r="E4" s="657"/>
      <c r="F4" s="657"/>
      <c r="G4" s="442"/>
      <c r="H4" s="443"/>
      <c r="I4" s="444"/>
      <c r="J4" s="658" t="s">
        <v>567</v>
      </c>
      <c r="K4" s="658"/>
      <c r="L4" s="658"/>
      <c r="M4" s="446"/>
      <c r="O4" s="436"/>
      <c r="V4" s="436"/>
      <c r="W4" s="436"/>
      <c r="X4" s="436"/>
    </row>
    <row r="5" spans="2:44" ht="15" customHeight="1">
      <c r="B5" s="439"/>
      <c r="C5" s="440"/>
      <c r="D5" s="447" t="s">
        <v>568</v>
      </c>
      <c r="E5" s="448"/>
      <c r="F5" s="447" t="s">
        <v>569</v>
      </c>
      <c r="G5" s="442"/>
      <c r="H5" s="449" t="s">
        <v>570</v>
      </c>
      <c r="I5" s="444"/>
      <c r="J5" s="450" t="s">
        <v>568</v>
      </c>
      <c r="K5" s="451"/>
      <c r="L5" s="450" t="s">
        <v>569</v>
      </c>
      <c r="M5" s="446"/>
      <c r="O5" s="436"/>
      <c r="V5" s="436"/>
      <c r="W5" s="436"/>
      <c r="X5" s="436"/>
    </row>
    <row r="6" spans="2:44" ht="15" customHeight="1">
      <c r="B6" s="439"/>
      <c r="C6" s="440"/>
      <c r="D6" s="452"/>
      <c r="E6" s="453" t="s">
        <v>571</v>
      </c>
      <c r="F6" s="452"/>
      <c r="G6" s="442"/>
      <c r="H6" s="443"/>
      <c r="I6" s="444"/>
      <c r="J6" s="454">
        <f>F6</f>
        <v>0</v>
      </c>
      <c r="K6" s="455" t="s">
        <v>571</v>
      </c>
      <c r="L6" s="454">
        <f>D6</f>
        <v>0</v>
      </c>
      <c r="M6" s="446"/>
      <c r="O6" s="436"/>
      <c r="V6" s="436"/>
      <c r="W6" s="436"/>
      <c r="X6" s="436"/>
    </row>
    <row r="7" spans="2:44" ht="7.5" customHeight="1">
      <c r="B7" s="439"/>
      <c r="C7" s="440"/>
      <c r="D7" s="456"/>
      <c r="E7" s="457"/>
      <c r="F7" s="456"/>
      <c r="G7" s="442"/>
      <c r="H7" s="443"/>
      <c r="I7" s="444"/>
      <c r="J7" s="454"/>
      <c r="K7" s="458"/>
      <c r="L7" s="454"/>
      <c r="M7" s="446"/>
      <c r="O7" s="436"/>
      <c r="V7" s="436"/>
      <c r="W7" s="436"/>
      <c r="X7" s="436"/>
    </row>
    <row r="8" spans="2:44" ht="7.5" customHeight="1">
      <c r="F8" s="459"/>
    </row>
    <row r="9" spans="2:44" ht="15" customHeight="1">
      <c r="D9" s="654" t="s">
        <v>572</v>
      </c>
      <c r="E9" s="654"/>
      <c r="F9" s="654"/>
      <c r="G9" s="654"/>
      <c r="H9" s="654"/>
      <c r="I9" s="654"/>
      <c r="J9" s="654"/>
      <c r="K9" s="654"/>
      <c r="L9" s="654"/>
      <c r="N9" s="654" t="s">
        <v>573</v>
      </c>
      <c r="O9" s="654"/>
      <c r="P9" s="654"/>
      <c r="R9" s="654" t="s">
        <v>574</v>
      </c>
      <c r="S9" s="654"/>
      <c r="T9" s="654"/>
      <c r="U9" s="654"/>
      <c r="V9" s="654"/>
      <c r="W9" s="654"/>
      <c r="X9" s="654"/>
      <c r="Z9" s="654" t="s">
        <v>575</v>
      </c>
      <c r="AA9" s="654"/>
      <c r="AB9" s="654"/>
      <c r="AC9" s="654"/>
      <c r="AD9" s="654"/>
      <c r="AE9" s="654"/>
      <c r="AF9" s="654"/>
      <c r="AH9" s="654" t="s">
        <v>576</v>
      </c>
      <c r="AI9" s="654"/>
      <c r="AJ9" s="654"/>
      <c r="AK9" s="654"/>
      <c r="AL9" s="654"/>
      <c r="AM9" s="654"/>
      <c r="AN9" s="654"/>
      <c r="AP9" s="460" t="s">
        <v>577</v>
      </c>
      <c r="AQ9" s="460" t="s">
        <v>577</v>
      </c>
    </row>
    <row r="10" spans="2:44" s="463" customFormat="1" ht="15" customHeight="1">
      <c r="B10" s="460" t="s">
        <v>578</v>
      </c>
      <c r="C10" s="460"/>
      <c r="D10" s="460" t="s">
        <v>579</v>
      </c>
      <c r="E10" s="460"/>
      <c r="F10" s="460" t="s">
        <v>580</v>
      </c>
      <c r="G10" s="655" t="s">
        <v>581</v>
      </c>
      <c r="H10" s="655"/>
      <c r="I10" s="655"/>
      <c r="J10" s="461" t="s">
        <v>582</v>
      </c>
      <c r="K10" s="462"/>
      <c r="L10" s="460" t="s">
        <v>572</v>
      </c>
      <c r="N10" s="460" t="s">
        <v>568</v>
      </c>
      <c r="P10" s="460" t="s">
        <v>569</v>
      </c>
      <c r="R10" s="460" t="s">
        <v>568</v>
      </c>
      <c r="T10" s="460" t="s">
        <v>569</v>
      </c>
      <c r="U10" s="655" t="s">
        <v>581</v>
      </c>
      <c r="V10" s="655"/>
      <c r="W10" s="655"/>
      <c r="X10" s="460" t="s">
        <v>572</v>
      </c>
      <c r="Z10" s="460" t="s">
        <v>568</v>
      </c>
      <c r="AB10" s="460" t="s">
        <v>569</v>
      </c>
      <c r="AC10" s="655" t="s">
        <v>581</v>
      </c>
      <c r="AD10" s="655"/>
      <c r="AE10" s="655"/>
      <c r="AF10" s="460" t="s">
        <v>572</v>
      </c>
      <c r="AH10" s="460" t="s">
        <v>568</v>
      </c>
      <c r="AJ10" s="460" t="s">
        <v>569</v>
      </c>
      <c r="AK10" s="655" t="s">
        <v>581</v>
      </c>
      <c r="AL10" s="655"/>
      <c r="AM10" s="655"/>
      <c r="AN10" s="460" t="s">
        <v>572</v>
      </c>
      <c r="AP10" s="464" t="s">
        <v>583</v>
      </c>
      <c r="AQ10" s="464" t="s">
        <v>583</v>
      </c>
    </row>
    <row r="11" spans="2:44" ht="16.5" customHeight="1">
      <c r="B11" s="465"/>
      <c r="C11" s="466" t="s">
        <v>584</v>
      </c>
      <c r="D11" s="467"/>
      <c r="E11" s="468" t="s">
        <v>571</v>
      </c>
      <c r="F11" s="467"/>
      <c r="G11" s="469" t="s">
        <v>585</v>
      </c>
      <c r="H11" s="467"/>
      <c r="I11" s="334" t="s">
        <v>586</v>
      </c>
      <c r="J11" s="465"/>
      <c r="L11" s="470">
        <f>IF(OR(D11="",F11=""),0,(IF(D11&gt;F11,1,0)-D11+F11-H11)*24)</f>
        <v>0</v>
      </c>
      <c r="N11" s="471" t="str">
        <f>IF(D11="","",$D$6)</f>
        <v/>
      </c>
      <c r="O11" s="468" t="s">
        <v>571</v>
      </c>
      <c r="P11" s="471" t="str">
        <f>IF(N11="","",$F$6)</f>
        <v/>
      </c>
      <c r="R11" s="471" t="str">
        <f>IF(OR(D11="",D11&lt;N11,P11&lt;=D11),"",D11)</f>
        <v/>
      </c>
      <c r="S11" s="468" t="s">
        <v>571</v>
      </c>
      <c r="T11" s="471" t="str">
        <f>IF(R11="","",IF(D11&lt;F11,IF(F11&lt;=P11,F11,P11),P11))</f>
        <v/>
      </c>
      <c r="U11" s="469" t="s">
        <v>585</v>
      </c>
      <c r="V11" s="472" t="str">
        <f>IF(J11="日勤",H11,"")</f>
        <v/>
      </c>
      <c r="W11" s="334" t="s">
        <v>586</v>
      </c>
      <c r="X11" s="470">
        <f>IFERROR(IF(R11="",0,(T11-R11-V11)*24),0)</f>
        <v>0</v>
      </c>
      <c r="Z11" s="471" t="str">
        <f>IF(OR(D11="",AND(D11&lt;F11,N11&lt;=D11,D11&lt;=P11,N11&lt;=F11,F11&lt;=P11),J11="宿直"),"",IF(D11&lt;F11,IF(AND(D11&lt;P11,P11&lt;F11),P11,D11),IF(D11&lt;P11,P11,D11)))</f>
        <v/>
      </c>
      <c r="AA11" s="468" t="s">
        <v>571</v>
      </c>
      <c r="AB11" s="471" t="str">
        <f>IF(Z11="","",IF(D11&lt;F11,IF(P11&lt;F11,F11,IF(F11&lt;N11,F11,N11)),IF(F11&lt;N11,F11,N11)))</f>
        <v/>
      </c>
      <c r="AC11" s="469" t="s">
        <v>585</v>
      </c>
      <c r="AD11" s="473"/>
      <c r="AE11" s="334" t="s">
        <v>586</v>
      </c>
      <c r="AF11" s="470">
        <f>IF(Z11="",0,(IF(Z11&gt;AB11,1,0)-Z11+AB11-AD11)*24)</f>
        <v>0</v>
      </c>
      <c r="AH11" s="471" t="str">
        <f>IF(OR(AND(D11&lt;F11,D11&lt;N11),AND(D11&gt;F11,F11&gt;N11)),N11,"")</f>
        <v/>
      </c>
      <c r="AI11" s="468" t="s">
        <v>571</v>
      </c>
      <c r="AJ11" s="471" t="str">
        <f t="shared" ref="AJ11:AJ54" si="0">IF(AH11="","",F11)</f>
        <v/>
      </c>
      <c r="AK11" s="469" t="s">
        <v>585</v>
      </c>
      <c r="AL11" s="473"/>
      <c r="AM11" s="334" t="s">
        <v>586</v>
      </c>
      <c r="AN11" s="470">
        <f>IF(AH11="",0,(IF(AH11&gt;AJ11,1,0)-AH11+AJ11-AL11)*24)</f>
        <v>0</v>
      </c>
      <c r="AP11" s="470">
        <f>X11+AN11</f>
        <v>0</v>
      </c>
      <c r="AQ11" s="470">
        <f>IF(X11&lt;6,X11,IF(X11&lt;8,X11+0.75,X11+1))+IF(AN11&lt;6,AN11,IF(AN11&lt;8,AN11+0.75,AN11+1))</f>
        <v>0</v>
      </c>
      <c r="AR11" s="474"/>
    </row>
    <row r="12" spans="2:44" ht="16.5" customHeight="1">
      <c r="B12" s="465"/>
      <c r="C12" s="466" t="s">
        <v>584</v>
      </c>
      <c r="D12" s="467"/>
      <c r="E12" s="468" t="s">
        <v>571</v>
      </c>
      <c r="F12" s="467"/>
      <c r="G12" s="469" t="s">
        <v>585</v>
      </c>
      <c r="H12" s="467"/>
      <c r="I12" s="334" t="s">
        <v>586</v>
      </c>
      <c r="J12" s="465"/>
      <c r="L12" s="470">
        <f>IF(OR(D12="",F12=""),0,(IF(D12&gt;F12,1,0)-D12+F12-H12)*24)</f>
        <v>0</v>
      </c>
      <c r="N12" s="471" t="str">
        <f t="shared" ref="N12:N54" si="1">IF(D12="","",$D$6)</f>
        <v/>
      </c>
      <c r="O12" s="468" t="s">
        <v>571</v>
      </c>
      <c r="P12" s="471" t="str">
        <f t="shared" ref="P12:P54" si="2">IF(N12="","",$F$6)</f>
        <v/>
      </c>
      <c r="R12" s="471" t="str">
        <f t="shared" ref="R12:R54" si="3">IF(OR(D12="",D12&lt;N12,P12&lt;=D12),"",D12)</f>
        <v/>
      </c>
      <c r="S12" s="468" t="s">
        <v>571</v>
      </c>
      <c r="T12" s="471" t="str">
        <f t="shared" ref="T12:T54" si="4">IF(R12="","",IF(D12&lt;F12,IF(F12&lt;=P12,F12,P12),P12))</f>
        <v/>
      </c>
      <c r="U12" s="469" t="s">
        <v>585</v>
      </c>
      <c r="V12" s="472" t="str">
        <f t="shared" ref="V12:V54" si="5">IF(J12="日勤",H12,"")</f>
        <v/>
      </c>
      <c r="W12" s="334" t="s">
        <v>586</v>
      </c>
      <c r="X12" s="470">
        <f t="shared" ref="X12:X54" si="6">IFERROR(IF(R12="",0,(T12-R12-V12)*24),0)</f>
        <v>0</v>
      </c>
      <c r="Z12" s="471" t="str">
        <f t="shared" ref="Z12:Z54" si="7">IF(OR(D12="",AND(D12&lt;F12,N12&lt;=D12,D12&lt;=P12,N12&lt;=F12,F12&lt;=P12),J12="宿直"),"",IF(D12&lt;F12,IF(AND(D12&lt;P12,P12&lt;F12),P12,D12),IF(D12&lt;P12,P12,D12)))</f>
        <v/>
      </c>
      <c r="AA12" s="468" t="s">
        <v>571</v>
      </c>
      <c r="AB12" s="471" t="str">
        <f t="shared" ref="AB12:AB54" si="8">IF(Z12="","",IF(D12&lt;F12,IF(P12&lt;F12,F12,IF(F12&lt;N12,F12,N12)),IF(F12&lt;N12,F12,N12)))</f>
        <v/>
      </c>
      <c r="AC12" s="469" t="s">
        <v>585</v>
      </c>
      <c r="AD12" s="473"/>
      <c r="AE12" s="334" t="s">
        <v>586</v>
      </c>
      <c r="AF12" s="470">
        <f t="shared" ref="AF12:AF54" si="9">IF(Z12="",0,(IF(Z12&gt;AB12,1,0)-Z12+AB12-AD12)*24)</f>
        <v>0</v>
      </c>
      <c r="AH12" s="471" t="str">
        <f t="shared" ref="AH12:AH54" si="10">IF(OR(AND(D12&lt;F12,D12&lt;N12),AND(D12&gt;F12,F12&gt;N12)),N12,"")</f>
        <v/>
      </c>
      <c r="AI12" s="468" t="s">
        <v>571</v>
      </c>
      <c r="AJ12" s="471" t="str">
        <f t="shared" si="0"/>
        <v/>
      </c>
      <c r="AK12" s="469" t="s">
        <v>585</v>
      </c>
      <c r="AL12" s="473"/>
      <c r="AM12" s="334" t="s">
        <v>586</v>
      </c>
      <c r="AN12" s="470">
        <f t="shared" ref="AN12:AN54" si="11">IF(AH12="",0,(IF(AH12&gt;AJ12,1,0)-AH12+AJ12-AL12)*24)</f>
        <v>0</v>
      </c>
      <c r="AP12" s="470">
        <f t="shared" ref="AP12:AP54" si="12">X12+AN12</f>
        <v>0</v>
      </c>
      <c r="AQ12" s="470">
        <f t="shared" ref="AQ12:AQ54" si="13">IF(X12&lt;6,X12,IF(X12&lt;8,X12+0.75,X12+1))+IF(AN12&lt;6,AN12,IF(AN12&lt;8,AN12+0.75,AN12+1))</f>
        <v>0</v>
      </c>
      <c r="AR12" s="474"/>
    </row>
    <row r="13" spans="2:44" ht="16.5" customHeight="1">
      <c r="B13" s="465"/>
      <c r="C13" s="466" t="s">
        <v>584</v>
      </c>
      <c r="D13" s="467"/>
      <c r="E13" s="468" t="s">
        <v>571</v>
      </c>
      <c r="F13" s="467"/>
      <c r="G13" s="469" t="s">
        <v>585</v>
      </c>
      <c r="H13" s="467"/>
      <c r="I13" s="334" t="s">
        <v>586</v>
      </c>
      <c r="J13" s="465"/>
      <c r="L13" s="470">
        <f t="shared" ref="L13:L54" si="14">IF(OR(D13="",F13=""),0,(IF(D13&gt;F13,1,0)-D13+F13-H13)*24)</f>
        <v>0</v>
      </c>
      <c r="N13" s="471" t="str">
        <f t="shared" si="1"/>
        <v/>
      </c>
      <c r="O13" s="468" t="s">
        <v>571</v>
      </c>
      <c r="P13" s="471" t="str">
        <f t="shared" si="2"/>
        <v/>
      </c>
      <c r="R13" s="471" t="str">
        <f t="shared" si="3"/>
        <v/>
      </c>
      <c r="S13" s="468" t="s">
        <v>571</v>
      </c>
      <c r="T13" s="471" t="str">
        <f t="shared" si="4"/>
        <v/>
      </c>
      <c r="U13" s="469" t="s">
        <v>585</v>
      </c>
      <c r="V13" s="472" t="str">
        <f t="shared" si="5"/>
        <v/>
      </c>
      <c r="W13" s="334" t="s">
        <v>586</v>
      </c>
      <c r="X13" s="470">
        <f t="shared" si="6"/>
        <v>0</v>
      </c>
      <c r="Z13" s="471" t="str">
        <f t="shared" si="7"/>
        <v/>
      </c>
      <c r="AA13" s="468" t="s">
        <v>571</v>
      </c>
      <c r="AB13" s="471" t="str">
        <f t="shared" si="8"/>
        <v/>
      </c>
      <c r="AC13" s="469" t="s">
        <v>585</v>
      </c>
      <c r="AD13" s="473"/>
      <c r="AE13" s="334" t="s">
        <v>586</v>
      </c>
      <c r="AF13" s="470">
        <f t="shared" si="9"/>
        <v>0</v>
      </c>
      <c r="AH13" s="471" t="str">
        <f t="shared" si="10"/>
        <v/>
      </c>
      <c r="AI13" s="468" t="s">
        <v>571</v>
      </c>
      <c r="AJ13" s="471" t="str">
        <f t="shared" si="0"/>
        <v/>
      </c>
      <c r="AK13" s="469" t="s">
        <v>585</v>
      </c>
      <c r="AL13" s="473"/>
      <c r="AM13" s="334" t="s">
        <v>586</v>
      </c>
      <c r="AN13" s="470">
        <f t="shared" si="11"/>
        <v>0</v>
      </c>
      <c r="AP13" s="470">
        <f t="shared" si="12"/>
        <v>0</v>
      </c>
      <c r="AQ13" s="470">
        <f t="shared" si="13"/>
        <v>0</v>
      </c>
      <c r="AR13" s="474"/>
    </row>
    <row r="14" spans="2:44" ht="16.5" customHeight="1">
      <c r="B14" s="465"/>
      <c r="C14" s="466" t="s">
        <v>584</v>
      </c>
      <c r="D14" s="467"/>
      <c r="E14" s="468" t="s">
        <v>571</v>
      </c>
      <c r="F14" s="467"/>
      <c r="G14" s="469" t="s">
        <v>585</v>
      </c>
      <c r="H14" s="467"/>
      <c r="I14" s="334" t="s">
        <v>586</v>
      </c>
      <c r="J14" s="465"/>
      <c r="L14" s="470">
        <f>IF(OR(D14="",F14=""),0,(IF(D14&gt;F14,1,0)-D14+F14-H14)*24)</f>
        <v>0</v>
      </c>
      <c r="N14" s="471" t="str">
        <f t="shared" si="1"/>
        <v/>
      </c>
      <c r="O14" s="468" t="s">
        <v>571</v>
      </c>
      <c r="P14" s="471" t="str">
        <f t="shared" si="2"/>
        <v/>
      </c>
      <c r="R14" s="471" t="str">
        <f t="shared" si="3"/>
        <v/>
      </c>
      <c r="S14" s="468" t="s">
        <v>571</v>
      </c>
      <c r="T14" s="471" t="str">
        <f t="shared" si="4"/>
        <v/>
      </c>
      <c r="U14" s="469" t="s">
        <v>585</v>
      </c>
      <c r="V14" s="472" t="str">
        <f t="shared" si="5"/>
        <v/>
      </c>
      <c r="W14" s="334" t="s">
        <v>586</v>
      </c>
      <c r="X14" s="470">
        <f t="shared" si="6"/>
        <v>0</v>
      </c>
      <c r="Z14" s="471" t="str">
        <f t="shared" si="7"/>
        <v/>
      </c>
      <c r="AA14" s="468" t="s">
        <v>571</v>
      </c>
      <c r="AB14" s="471" t="str">
        <f t="shared" si="8"/>
        <v/>
      </c>
      <c r="AC14" s="469" t="s">
        <v>585</v>
      </c>
      <c r="AD14" s="473"/>
      <c r="AE14" s="334" t="s">
        <v>586</v>
      </c>
      <c r="AF14" s="470">
        <f t="shared" si="9"/>
        <v>0</v>
      </c>
      <c r="AH14" s="471" t="str">
        <f t="shared" si="10"/>
        <v/>
      </c>
      <c r="AI14" s="468" t="s">
        <v>571</v>
      </c>
      <c r="AJ14" s="471" t="str">
        <f t="shared" si="0"/>
        <v/>
      </c>
      <c r="AK14" s="469" t="s">
        <v>585</v>
      </c>
      <c r="AL14" s="473"/>
      <c r="AM14" s="334" t="s">
        <v>586</v>
      </c>
      <c r="AN14" s="470">
        <f t="shared" si="11"/>
        <v>0</v>
      </c>
      <c r="AP14" s="470">
        <f t="shared" si="12"/>
        <v>0</v>
      </c>
      <c r="AQ14" s="470">
        <f t="shared" si="13"/>
        <v>0</v>
      </c>
      <c r="AR14" s="474"/>
    </row>
    <row r="15" spans="2:44" ht="16.5" customHeight="1">
      <c r="B15" s="465"/>
      <c r="C15" s="466" t="s">
        <v>584</v>
      </c>
      <c r="D15" s="467"/>
      <c r="E15" s="468" t="s">
        <v>571</v>
      </c>
      <c r="F15" s="467"/>
      <c r="G15" s="469" t="s">
        <v>585</v>
      </c>
      <c r="H15" s="467"/>
      <c r="I15" s="334" t="s">
        <v>586</v>
      </c>
      <c r="J15" s="465"/>
      <c r="L15" s="470">
        <f t="shared" si="14"/>
        <v>0</v>
      </c>
      <c r="N15" s="471" t="str">
        <f t="shared" si="1"/>
        <v/>
      </c>
      <c r="O15" s="468" t="s">
        <v>571</v>
      </c>
      <c r="P15" s="471" t="str">
        <f t="shared" si="2"/>
        <v/>
      </c>
      <c r="R15" s="471" t="str">
        <f t="shared" si="3"/>
        <v/>
      </c>
      <c r="S15" s="468" t="s">
        <v>571</v>
      </c>
      <c r="T15" s="471" t="str">
        <f t="shared" si="4"/>
        <v/>
      </c>
      <c r="U15" s="469" t="s">
        <v>585</v>
      </c>
      <c r="V15" s="472" t="str">
        <f t="shared" si="5"/>
        <v/>
      </c>
      <c r="W15" s="334" t="s">
        <v>586</v>
      </c>
      <c r="X15" s="470">
        <f t="shared" si="6"/>
        <v>0</v>
      </c>
      <c r="Z15" s="471" t="str">
        <f t="shared" si="7"/>
        <v/>
      </c>
      <c r="AA15" s="468" t="s">
        <v>571</v>
      </c>
      <c r="AB15" s="471" t="str">
        <f t="shared" si="8"/>
        <v/>
      </c>
      <c r="AC15" s="469" t="s">
        <v>585</v>
      </c>
      <c r="AD15" s="473"/>
      <c r="AE15" s="334" t="s">
        <v>586</v>
      </c>
      <c r="AF15" s="470">
        <f t="shared" si="9"/>
        <v>0</v>
      </c>
      <c r="AH15" s="471" t="str">
        <f t="shared" si="10"/>
        <v/>
      </c>
      <c r="AI15" s="468" t="s">
        <v>571</v>
      </c>
      <c r="AJ15" s="471" t="str">
        <f t="shared" si="0"/>
        <v/>
      </c>
      <c r="AK15" s="469" t="s">
        <v>585</v>
      </c>
      <c r="AL15" s="473"/>
      <c r="AM15" s="334" t="s">
        <v>586</v>
      </c>
      <c r="AN15" s="470">
        <f t="shared" si="11"/>
        <v>0</v>
      </c>
      <c r="AP15" s="470">
        <f t="shared" si="12"/>
        <v>0</v>
      </c>
      <c r="AQ15" s="470">
        <f t="shared" si="13"/>
        <v>0</v>
      </c>
      <c r="AR15" s="474"/>
    </row>
    <row r="16" spans="2:44" ht="16.5" customHeight="1">
      <c r="B16" s="465"/>
      <c r="C16" s="466" t="s">
        <v>584</v>
      </c>
      <c r="D16" s="467"/>
      <c r="E16" s="468" t="s">
        <v>571</v>
      </c>
      <c r="F16" s="467"/>
      <c r="G16" s="469" t="s">
        <v>585</v>
      </c>
      <c r="H16" s="467"/>
      <c r="I16" s="334" t="s">
        <v>586</v>
      </c>
      <c r="J16" s="465"/>
      <c r="L16" s="470">
        <f t="shared" si="14"/>
        <v>0</v>
      </c>
      <c r="N16" s="471" t="str">
        <f t="shared" si="1"/>
        <v/>
      </c>
      <c r="O16" s="468" t="s">
        <v>571</v>
      </c>
      <c r="P16" s="471" t="str">
        <f t="shared" si="2"/>
        <v/>
      </c>
      <c r="R16" s="471" t="str">
        <f t="shared" si="3"/>
        <v/>
      </c>
      <c r="S16" s="468" t="s">
        <v>571</v>
      </c>
      <c r="T16" s="471" t="str">
        <f t="shared" si="4"/>
        <v/>
      </c>
      <c r="U16" s="469" t="s">
        <v>585</v>
      </c>
      <c r="V16" s="472" t="str">
        <f t="shared" si="5"/>
        <v/>
      </c>
      <c r="W16" s="334" t="s">
        <v>586</v>
      </c>
      <c r="X16" s="470">
        <f t="shared" si="6"/>
        <v>0</v>
      </c>
      <c r="Z16" s="471" t="str">
        <f t="shared" si="7"/>
        <v/>
      </c>
      <c r="AA16" s="468" t="s">
        <v>571</v>
      </c>
      <c r="AB16" s="471" t="str">
        <f t="shared" si="8"/>
        <v/>
      </c>
      <c r="AC16" s="469" t="s">
        <v>585</v>
      </c>
      <c r="AD16" s="473"/>
      <c r="AE16" s="334" t="s">
        <v>586</v>
      </c>
      <c r="AF16" s="470">
        <f t="shared" si="9"/>
        <v>0</v>
      </c>
      <c r="AH16" s="471" t="str">
        <f t="shared" si="10"/>
        <v/>
      </c>
      <c r="AI16" s="468" t="s">
        <v>571</v>
      </c>
      <c r="AJ16" s="471" t="str">
        <f t="shared" si="0"/>
        <v/>
      </c>
      <c r="AK16" s="469" t="s">
        <v>585</v>
      </c>
      <c r="AL16" s="473"/>
      <c r="AM16" s="334" t="s">
        <v>586</v>
      </c>
      <c r="AN16" s="470">
        <f t="shared" si="11"/>
        <v>0</v>
      </c>
      <c r="AP16" s="470">
        <f t="shared" si="12"/>
        <v>0</v>
      </c>
      <c r="AQ16" s="470">
        <f t="shared" si="13"/>
        <v>0</v>
      </c>
      <c r="AR16" s="474"/>
    </row>
    <row r="17" spans="2:44" ht="16.5" customHeight="1">
      <c r="B17" s="465"/>
      <c r="C17" s="466" t="s">
        <v>584</v>
      </c>
      <c r="D17" s="467"/>
      <c r="E17" s="468" t="s">
        <v>571</v>
      </c>
      <c r="F17" s="467"/>
      <c r="G17" s="469" t="s">
        <v>585</v>
      </c>
      <c r="H17" s="467"/>
      <c r="I17" s="334" t="s">
        <v>586</v>
      </c>
      <c r="J17" s="465"/>
      <c r="L17" s="470">
        <f t="shared" si="14"/>
        <v>0</v>
      </c>
      <c r="N17" s="471" t="str">
        <f t="shared" si="1"/>
        <v/>
      </c>
      <c r="O17" s="468" t="s">
        <v>571</v>
      </c>
      <c r="P17" s="471" t="str">
        <f t="shared" si="2"/>
        <v/>
      </c>
      <c r="R17" s="471" t="str">
        <f t="shared" si="3"/>
        <v/>
      </c>
      <c r="S17" s="468" t="s">
        <v>571</v>
      </c>
      <c r="T17" s="471" t="str">
        <f t="shared" si="4"/>
        <v/>
      </c>
      <c r="U17" s="469" t="s">
        <v>585</v>
      </c>
      <c r="V17" s="472" t="str">
        <f t="shared" si="5"/>
        <v/>
      </c>
      <c r="W17" s="334" t="s">
        <v>586</v>
      </c>
      <c r="X17" s="470">
        <f t="shared" si="6"/>
        <v>0</v>
      </c>
      <c r="Z17" s="471" t="str">
        <f t="shared" si="7"/>
        <v/>
      </c>
      <c r="AA17" s="468" t="s">
        <v>571</v>
      </c>
      <c r="AB17" s="471" t="str">
        <f t="shared" si="8"/>
        <v/>
      </c>
      <c r="AC17" s="469" t="s">
        <v>585</v>
      </c>
      <c r="AD17" s="473"/>
      <c r="AE17" s="334" t="s">
        <v>586</v>
      </c>
      <c r="AF17" s="470">
        <f t="shared" si="9"/>
        <v>0</v>
      </c>
      <c r="AH17" s="471" t="str">
        <f t="shared" si="10"/>
        <v/>
      </c>
      <c r="AI17" s="468" t="s">
        <v>571</v>
      </c>
      <c r="AJ17" s="471" t="str">
        <f t="shared" si="0"/>
        <v/>
      </c>
      <c r="AK17" s="469" t="s">
        <v>585</v>
      </c>
      <c r="AL17" s="473"/>
      <c r="AM17" s="334" t="s">
        <v>586</v>
      </c>
      <c r="AN17" s="470">
        <f t="shared" si="11"/>
        <v>0</v>
      </c>
      <c r="AP17" s="470">
        <f t="shared" si="12"/>
        <v>0</v>
      </c>
      <c r="AQ17" s="470">
        <f t="shared" si="13"/>
        <v>0</v>
      </c>
      <c r="AR17" s="474"/>
    </row>
    <row r="18" spans="2:44" ht="16.5" customHeight="1">
      <c r="B18" s="465"/>
      <c r="C18" s="466" t="s">
        <v>584</v>
      </c>
      <c r="D18" s="467"/>
      <c r="E18" s="468" t="s">
        <v>571</v>
      </c>
      <c r="F18" s="467"/>
      <c r="G18" s="469" t="s">
        <v>585</v>
      </c>
      <c r="H18" s="467"/>
      <c r="I18" s="334" t="s">
        <v>586</v>
      </c>
      <c r="J18" s="465"/>
      <c r="L18" s="475">
        <f t="shared" si="14"/>
        <v>0</v>
      </c>
      <c r="N18" s="471" t="str">
        <f t="shared" si="1"/>
        <v/>
      </c>
      <c r="O18" s="468" t="s">
        <v>571</v>
      </c>
      <c r="P18" s="471" t="str">
        <f t="shared" si="2"/>
        <v/>
      </c>
      <c r="R18" s="471" t="str">
        <f t="shared" si="3"/>
        <v/>
      </c>
      <c r="S18" s="468" t="s">
        <v>571</v>
      </c>
      <c r="T18" s="471" t="str">
        <f t="shared" si="4"/>
        <v/>
      </c>
      <c r="U18" s="469" t="s">
        <v>585</v>
      </c>
      <c r="V18" s="472" t="str">
        <f t="shared" si="5"/>
        <v/>
      </c>
      <c r="W18" s="334" t="s">
        <v>586</v>
      </c>
      <c r="X18" s="470">
        <f t="shared" si="6"/>
        <v>0</v>
      </c>
      <c r="Z18" s="471" t="str">
        <f t="shared" si="7"/>
        <v/>
      </c>
      <c r="AA18" s="468" t="s">
        <v>571</v>
      </c>
      <c r="AB18" s="471" t="str">
        <f t="shared" si="8"/>
        <v/>
      </c>
      <c r="AC18" s="469" t="s">
        <v>585</v>
      </c>
      <c r="AD18" s="473"/>
      <c r="AE18" s="334" t="s">
        <v>586</v>
      </c>
      <c r="AF18" s="470">
        <f t="shared" si="9"/>
        <v>0</v>
      </c>
      <c r="AH18" s="471" t="str">
        <f t="shared" si="10"/>
        <v/>
      </c>
      <c r="AI18" s="468" t="s">
        <v>571</v>
      </c>
      <c r="AJ18" s="471" t="str">
        <f t="shared" si="0"/>
        <v/>
      </c>
      <c r="AK18" s="469" t="s">
        <v>585</v>
      </c>
      <c r="AL18" s="473"/>
      <c r="AM18" s="334" t="s">
        <v>586</v>
      </c>
      <c r="AN18" s="470">
        <f t="shared" si="11"/>
        <v>0</v>
      </c>
      <c r="AP18" s="470">
        <f t="shared" si="12"/>
        <v>0</v>
      </c>
      <c r="AQ18" s="470">
        <f t="shared" si="13"/>
        <v>0</v>
      </c>
    </row>
    <row r="19" spans="2:44" ht="16.5" customHeight="1">
      <c r="B19" s="465"/>
      <c r="C19" s="466" t="s">
        <v>584</v>
      </c>
      <c r="D19" s="467"/>
      <c r="E19" s="468" t="s">
        <v>571</v>
      </c>
      <c r="F19" s="467"/>
      <c r="G19" s="469" t="s">
        <v>585</v>
      </c>
      <c r="H19" s="467"/>
      <c r="I19" s="334" t="s">
        <v>586</v>
      </c>
      <c r="J19" s="465"/>
      <c r="L19" s="470">
        <f t="shared" si="14"/>
        <v>0</v>
      </c>
      <c r="N19" s="471" t="str">
        <f t="shared" si="1"/>
        <v/>
      </c>
      <c r="O19" s="468" t="s">
        <v>571</v>
      </c>
      <c r="P19" s="471" t="str">
        <f t="shared" si="2"/>
        <v/>
      </c>
      <c r="R19" s="471" t="str">
        <f t="shared" si="3"/>
        <v/>
      </c>
      <c r="S19" s="468" t="s">
        <v>571</v>
      </c>
      <c r="T19" s="471" t="str">
        <f t="shared" si="4"/>
        <v/>
      </c>
      <c r="U19" s="469" t="s">
        <v>585</v>
      </c>
      <c r="V19" s="472" t="str">
        <f t="shared" si="5"/>
        <v/>
      </c>
      <c r="W19" s="334" t="s">
        <v>586</v>
      </c>
      <c r="X19" s="470">
        <f t="shared" si="6"/>
        <v>0</v>
      </c>
      <c r="Z19" s="471" t="str">
        <f t="shared" si="7"/>
        <v/>
      </c>
      <c r="AA19" s="468" t="s">
        <v>571</v>
      </c>
      <c r="AB19" s="471" t="str">
        <f t="shared" si="8"/>
        <v/>
      </c>
      <c r="AC19" s="469" t="s">
        <v>585</v>
      </c>
      <c r="AD19" s="473"/>
      <c r="AE19" s="334" t="s">
        <v>586</v>
      </c>
      <c r="AF19" s="470">
        <f t="shared" si="9"/>
        <v>0</v>
      </c>
      <c r="AH19" s="471" t="str">
        <f t="shared" si="10"/>
        <v/>
      </c>
      <c r="AI19" s="468" t="s">
        <v>571</v>
      </c>
      <c r="AJ19" s="471" t="str">
        <f t="shared" si="0"/>
        <v/>
      </c>
      <c r="AK19" s="469" t="s">
        <v>585</v>
      </c>
      <c r="AL19" s="473"/>
      <c r="AM19" s="334" t="s">
        <v>586</v>
      </c>
      <c r="AN19" s="470">
        <f t="shared" si="11"/>
        <v>0</v>
      </c>
      <c r="AP19" s="470">
        <f t="shared" si="12"/>
        <v>0</v>
      </c>
      <c r="AQ19" s="470">
        <f t="shared" si="13"/>
        <v>0</v>
      </c>
    </row>
    <row r="20" spans="2:44" ht="16.5" customHeight="1">
      <c r="B20" s="465"/>
      <c r="C20" s="466" t="s">
        <v>584</v>
      </c>
      <c r="D20" s="467"/>
      <c r="E20" s="468" t="s">
        <v>571</v>
      </c>
      <c r="F20" s="467"/>
      <c r="G20" s="469" t="s">
        <v>585</v>
      </c>
      <c r="H20" s="467"/>
      <c r="I20" s="334" t="s">
        <v>586</v>
      </c>
      <c r="J20" s="465"/>
      <c r="L20" s="470">
        <f t="shared" si="14"/>
        <v>0</v>
      </c>
      <c r="N20" s="471" t="str">
        <f t="shared" si="1"/>
        <v/>
      </c>
      <c r="O20" s="468" t="s">
        <v>571</v>
      </c>
      <c r="P20" s="471" t="str">
        <f t="shared" si="2"/>
        <v/>
      </c>
      <c r="R20" s="471" t="str">
        <f t="shared" si="3"/>
        <v/>
      </c>
      <c r="S20" s="468" t="s">
        <v>571</v>
      </c>
      <c r="T20" s="471" t="str">
        <f t="shared" si="4"/>
        <v/>
      </c>
      <c r="U20" s="469" t="s">
        <v>585</v>
      </c>
      <c r="V20" s="472" t="str">
        <f t="shared" si="5"/>
        <v/>
      </c>
      <c r="W20" s="334" t="s">
        <v>586</v>
      </c>
      <c r="X20" s="470">
        <f t="shared" si="6"/>
        <v>0</v>
      </c>
      <c r="Z20" s="471" t="str">
        <f t="shared" si="7"/>
        <v/>
      </c>
      <c r="AA20" s="468" t="s">
        <v>571</v>
      </c>
      <c r="AB20" s="471" t="str">
        <f t="shared" si="8"/>
        <v/>
      </c>
      <c r="AC20" s="469" t="s">
        <v>585</v>
      </c>
      <c r="AD20" s="473"/>
      <c r="AE20" s="334" t="s">
        <v>586</v>
      </c>
      <c r="AF20" s="470">
        <f t="shared" si="9"/>
        <v>0</v>
      </c>
      <c r="AH20" s="471" t="str">
        <f t="shared" si="10"/>
        <v/>
      </c>
      <c r="AI20" s="468" t="s">
        <v>571</v>
      </c>
      <c r="AJ20" s="471" t="str">
        <f t="shared" si="0"/>
        <v/>
      </c>
      <c r="AK20" s="469" t="s">
        <v>585</v>
      </c>
      <c r="AL20" s="473"/>
      <c r="AM20" s="334" t="s">
        <v>586</v>
      </c>
      <c r="AN20" s="470">
        <f t="shared" si="11"/>
        <v>0</v>
      </c>
      <c r="AP20" s="470">
        <f t="shared" si="12"/>
        <v>0</v>
      </c>
      <c r="AQ20" s="470">
        <f t="shared" si="13"/>
        <v>0</v>
      </c>
    </row>
    <row r="21" spans="2:44" ht="16.5" customHeight="1">
      <c r="B21" s="465"/>
      <c r="C21" s="466" t="s">
        <v>584</v>
      </c>
      <c r="D21" s="467"/>
      <c r="E21" s="468" t="s">
        <v>571</v>
      </c>
      <c r="F21" s="467"/>
      <c r="G21" s="469" t="s">
        <v>585</v>
      </c>
      <c r="H21" s="467"/>
      <c r="I21" s="334" t="s">
        <v>586</v>
      </c>
      <c r="J21" s="465"/>
      <c r="L21" s="470">
        <f t="shared" si="14"/>
        <v>0</v>
      </c>
      <c r="N21" s="471" t="str">
        <f t="shared" si="1"/>
        <v/>
      </c>
      <c r="O21" s="468" t="s">
        <v>571</v>
      </c>
      <c r="P21" s="471" t="str">
        <f t="shared" si="2"/>
        <v/>
      </c>
      <c r="R21" s="471" t="str">
        <f t="shared" si="3"/>
        <v/>
      </c>
      <c r="S21" s="468" t="s">
        <v>571</v>
      </c>
      <c r="T21" s="471" t="str">
        <f t="shared" si="4"/>
        <v/>
      </c>
      <c r="U21" s="469" t="s">
        <v>585</v>
      </c>
      <c r="V21" s="472" t="str">
        <f t="shared" si="5"/>
        <v/>
      </c>
      <c r="W21" s="334" t="s">
        <v>586</v>
      </c>
      <c r="X21" s="470">
        <f t="shared" si="6"/>
        <v>0</v>
      </c>
      <c r="Z21" s="471" t="str">
        <f t="shared" si="7"/>
        <v/>
      </c>
      <c r="AA21" s="468" t="s">
        <v>571</v>
      </c>
      <c r="AB21" s="471" t="str">
        <f t="shared" si="8"/>
        <v/>
      </c>
      <c r="AC21" s="469" t="s">
        <v>585</v>
      </c>
      <c r="AD21" s="473"/>
      <c r="AE21" s="334" t="s">
        <v>586</v>
      </c>
      <c r="AF21" s="470">
        <f t="shared" si="9"/>
        <v>0</v>
      </c>
      <c r="AH21" s="471" t="str">
        <f t="shared" si="10"/>
        <v/>
      </c>
      <c r="AI21" s="468" t="s">
        <v>571</v>
      </c>
      <c r="AJ21" s="471" t="str">
        <f t="shared" si="0"/>
        <v/>
      </c>
      <c r="AK21" s="469" t="s">
        <v>585</v>
      </c>
      <c r="AL21" s="473"/>
      <c r="AM21" s="334" t="s">
        <v>586</v>
      </c>
      <c r="AN21" s="470">
        <f t="shared" si="11"/>
        <v>0</v>
      </c>
      <c r="AP21" s="470">
        <f t="shared" si="12"/>
        <v>0</v>
      </c>
      <c r="AQ21" s="470">
        <f t="shared" si="13"/>
        <v>0</v>
      </c>
    </row>
    <row r="22" spans="2:44" ht="16.5" customHeight="1">
      <c r="B22" s="465"/>
      <c r="C22" s="466" t="s">
        <v>584</v>
      </c>
      <c r="D22" s="467"/>
      <c r="E22" s="468" t="s">
        <v>571</v>
      </c>
      <c r="F22" s="467"/>
      <c r="G22" s="469" t="s">
        <v>585</v>
      </c>
      <c r="H22" s="467"/>
      <c r="I22" s="334" t="s">
        <v>586</v>
      </c>
      <c r="J22" s="465"/>
      <c r="L22" s="470">
        <f t="shared" si="14"/>
        <v>0</v>
      </c>
      <c r="N22" s="471" t="str">
        <f t="shared" si="1"/>
        <v/>
      </c>
      <c r="O22" s="468" t="s">
        <v>571</v>
      </c>
      <c r="P22" s="471" t="str">
        <f t="shared" si="2"/>
        <v/>
      </c>
      <c r="R22" s="471" t="str">
        <f t="shared" si="3"/>
        <v/>
      </c>
      <c r="S22" s="468" t="s">
        <v>571</v>
      </c>
      <c r="T22" s="471" t="str">
        <f t="shared" si="4"/>
        <v/>
      </c>
      <c r="U22" s="469" t="s">
        <v>585</v>
      </c>
      <c r="V22" s="472" t="str">
        <f t="shared" si="5"/>
        <v/>
      </c>
      <c r="W22" s="334" t="s">
        <v>586</v>
      </c>
      <c r="X22" s="470">
        <f t="shared" si="6"/>
        <v>0</v>
      </c>
      <c r="Z22" s="471" t="str">
        <f t="shared" si="7"/>
        <v/>
      </c>
      <c r="AA22" s="468" t="s">
        <v>571</v>
      </c>
      <c r="AB22" s="471" t="str">
        <f t="shared" si="8"/>
        <v/>
      </c>
      <c r="AC22" s="469" t="s">
        <v>585</v>
      </c>
      <c r="AD22" s="473"/>
      <c r="AE22" s="334" t="s">
        <v>586</v>
      </c>
      <c r="AF22" s="470">
        <f t="shared" si="9"/>
        <v>0</v>
      </c>
      <c r="AH22" s="471" t="str">
        <f t="shared" si="10"/>
        <v/>
      </c>
      <c r="AI22" s="468" t="s">
        <v>571</v>
      </c>
      <c r="AJ22" s="471" t="str">
        <f t="shared" si="0"/>
        <v/>
      </c>
      <c r="AK22" s="469" t="s">
        <v>585</v>
      </c>
      <c r="AL22" s="473"/>
      <c r="AM22" s="334" t="s">
        <v>586</v>
      </c>
      <c r="AN22" s="470">
        <f t="shared" si="11"/>
        <v>0</v>
      </c>
      <c r="AP22" s="470">
        <f t="shared" si="12"/>
        <v>0</v>
      </c>
      <c r="AQ22" s="470">
        <f t="shared" si="13"/>
        <v>0</v>
      </c>
    </row>
    <row r="23" spans="2:44" ht="16.5" customHeight="1">
      <c r="B23" s="465"/>
      <c r="C23" s="466" t="s">
        <v>584</v>
      </c>
      <c r="D23" s="467"/>
      <c r="E23" s="468" t="s">
        <v>571</v>
      </c>
      <c r="F23" s="467"/>
      <c r="G23" s="469" t="s">
        <v>585</v>
      </c>
      <c r="H23" s="467"/>
      <c r="I23" s="334" t="s">
        <v>586</v>
      </c>
      <c r="J23" s="465"/>
      <c r="L23" s="470">
        <f t="shared" si="14"/>
        <v>0</v>
      </c>
      <c r="N23" s="471" t="str">
        <f t="shared" si="1"/>
        <v/>
      </c>
      <c r="O23" s="468" t="s">
        <v>571</v>
      </c>
      <c r="P23" s="471" t="str">
        <f t="shared" si="2"/>
        <v/>
      </c>
      <c r="R23" s="471" t="str">
        <f t="shared" si="3"/>
        <v/>
      </c>
      <c r="S23" s="468" t="s">
        <v>571</v>
      </c>
      <c r="T23" s="471" t="str">
        <f t="shared" si="4"/>
        <v/>
      </c>
      <c r="U23" s="469" t="s">
        <v>585</v>
      </c>
      <c r="V23" s="472" t="str">
        <f t="shared" si="5"/>
        <v/>
      </c>
      <c r="W23" s="334" t="s">
        <v>586</v>
      </c>
      <c r="X23" s="470">
        <f t="shared" si="6"/>
        <v>0</v>
      </c>
      <c r="Z23" s="471" t="str">
        <f t="shared" si="7"/>
        <v/>
      </c>
      <c r="AA23" s="468" t="s">
        <v>571</v>
      </c>
      <c r="AB23" s="471" t="str">
        <f t="shared" si="8"/>
        <v/>
      </c>
      <c r="AC23" s="469" t="s">
        <v>585</v>
      </c>
      <c r="AD23" s="473"/>
      <c r="AE23" s="334" t="s">
        <v>586</v>
      </c>
      <c r="AF23" s="470">
        <f t="shared" si="9"/>
        <v>0</v>
      </c>
      <c r="AH23" s="471" t="str">
        <f t="shared" si="10"/>
        <v/>
      </c>
      <c r="AI23" s="468" t="s">
        <v>571</v>
      </c>
      <c r="AJ23" s="471" t="str">
        <f t="shared" si="0"/>
        <v/>
      </c>
      <c r="AK23" s="469" t="s">
        <v>585</v>
      </c>
      <c r="AL23" s="473"/>
      <c r="AM23" s="334" t="s">
        <v>586</v>
      </c>
      <c r="AN23" s="470">
        <f t="shared" si="11"/>
        <v>0</v>
      </c>
      <c r="AP23" s="470">
        <f t="shared" si="12"/>
        <v>0</v>
      </c>
      <c r="AQ23" s="470">
        <f t="shared" si="13"/>
        <v>0</v>
      </c>
    </row>
    <row r="24" spans="2:44" ht="16.5" customHeight="1">
      <c r="B24" s="465"/>
      <c r="C24" s="466" t="s">
        <v>584</v>
      </c>
      <c r="D24" s="467"/>
      <c r="E24" s="468" t="s">
        <v>571</v>
      </c>
      <c r="F24" s="467"/>
      <c r="G24" s="469" t="s">
        <v>585</v>
      </c>
      <c r="H24" s="467"/>
      <c r="I24" s="334" t="s">
        <v>586</v>
      </c>
      <c r="J24" s="465"/>
      <c r="L24" s="470">
        <f t="shared" si="14"/>
        <v>0</v>
      </c>
      <c r="N24" s="471" t="str">
        <f t="shared" si="1"/>
        <v/>
      </c>
      <c r="O24" s="468" t="s">
        <v>571</v>
      </c>
      <c r="P24" s="471" t="str">
        <f t="shared" si="2"/>
        <v/>
      </c>
      <c r="R24" s="471" t="str">
        <f t="shared" si="3"/>
        <v/>
      </c>
      <c r="S24" s="468" t="s">
        <v>571</v>
      </c>
      <c r="T24" s="471" t="str">
        <f t="shared" si="4"/>
        <v/>
      </c>
      <c r="U24" s="469" t="s">
        <v>585</v>
      </c>
      <c r="V24" s="472" t="str">
        <f t="shared" si="5"/>
        <v/>
      </c>
      <c r="W24" s="334" t="s">
        <v>586</v>
      </c>
      <c r="X24" s="470">
        <f t="shared" si="6"/>
        <v>0</v>
      </c>
      <c r="Z24" s="471" t="str">
        <f t="shared" si="7"/>
        <v/>
      </c>
      <c r="AA24" s="468" t="s">
        <v>571</v>
      </c>
      <c r="AB24" s="471" t="str">
        <f t="shared" si="8"/>
        <v/>
      </c>
      <c r="AC24" s="469" t="s">
        <v>585</v>
      </c>
      <c r="AD24" s="473"/>
      <c r="AE24" s="334" t="s">
        <v>586</v>
      </c>
      <c r="AF24" s="470">
        <f t="shared" si="9"/>
        <v>0</v>
      </c>
      <c r="AH24" s="471" t="str">
        <f t="shared" si="10"/>
        <v/>
      </c>
      <c r="AI24" s="468" t="s">
        <v>571</v>
      </c>
      <c r="AJ24" s="471" t="str">
        <f t="shared" si="0"/>
        <v/>
      </c>
      <c r="AK24" s="469" t="s">
        <v>585</v>
      </c>
      <c r="AL24" s="473"/>
      <c r="AM24" s="334" t="s">
        <v>586</v>
      </c>
      <c r="AN24" s="470">
        <f t="shared" si="11"/>
        <v>0</v>
      </c>
      <c r="AP24" s="470">
        <f t="shared" si="12"/>
        <v>0</v>
      </c>
      <c r="AQ24" s="470">
        <f t="shared" si="13"/>
        <v>0</v>
      </c>
    </row>
    <row r="25" spans="2:44" ht="16.5" customHeight="1">
      <c r="B25" s="465"/>
      <c r="C25" s="466" t="s">
        <v>584</v>
      </c>
      <c r="D25" s="467"/>
      <c r="E25" s="468" t="s">
        <v>571</v>
      </c>
      <c r="F25" s="467"/>
      <c r="G25" s="469" t="s">
        <v>585</v>
      </c>
      <c r="H25" s="467"/>
      <c r="I25" s="334" t="s">
        <v>586</v>
      </c>
      <c r="J25" s="465"/>
      <c r="L25" s="470">
        <f t="shared" si="14"/>
        <v>0</v>
      </c>
      <c r="N25" s="471" t="str">
        <f t="shared" si="1"/>
        <v/>
      </c>
      <c r="O25" s="468" t="s">
        <v>571</v>
      </c>
      <c r="P25" s="471" t="str">
        <f t="shared" si="2"/>
        <v/>
      </c>
      <c r="R25" s="471" t="str">
        <f t="shared" si="3"/>
        <v/>
      </c>
      <c r="S25" s="468" t="s">
        <v>571</v>
      </c>
      <c r="T25" s="471" t="str">
        <f>IF(R25="","",IF(D25&lt;F25,IF(F25&lt;=P25,F25,P25),P25))</f>
        <v/>
      </c>
      <c r="U25" s="469" t="s">
        <v>585</v>
      </c>
      <c r="V25" s="472" t="str">
        <f t="shared" si="5"/>
        <v/>
      </c>
      <c r="W25" s="334" t="s">
        <v>586</v>
      </c>
      <c r="X25" s="470">
        <f t="shared" si="6"/>
        <v>0</v>
      </c>
      <c r="Z25" s="471" t="str">
        <f t="shared" si="7"/>
        <v/>
      </c>
      <c r="AA25" s="468" t="s">
        <v>571</v>
      </c>
      <c r="AB25" s="471" t="str">
        <f t="shared" si="8"/>
        <v/>
      </c>
      <c r="AC25" s="469" t="s">
        <v>585</v>
      </c>
      <c r="AD25" s="473"/>
      <c r="AE25" s="334" t="s">
        <v>586</v>
      </c>
      <c r="AF25" s="470">
        <f t="shared" si="9"/>
        <v>0</v>
      </c>
      <c r="AH25" s="471" t="str">
        <f t="shared" si="10"/>
        <v/>
      </c>
      <c r="AI25" s="468" t="s">
        <v>571</v>
      </c>
      <c r="AJ25" s="471" t="str">
        <f t="shared" si="0"/>
        <v/>
      </c>
      <c r="AK25" s="469" t="s">
        <v>585</v>
      </c>
      <c r="AL25" s="473"/>
      <c r="AM25" s="334" t="s">
        <v>586</v>
      </c>
      <c r="AN25" s="470">
        <f t="shared" si="11"/>
        <v>0</v>
      </c>
      <c r="AP25" s="470">
        <f t="shared" si="12"/>
        <v>0</v>
      </c>
      <c r="AQ25" s="470">
        <f t="shared" si="13"/>
        <v>0</v>
      </c>
    </row>
    <row r="26" spans="2:44" ht="16.5" customHeight="1">
      <c r="B26" s="465"/>
      <c r="C26" s="466" t="s">
        <v>584</v>
      </c>
      <c r="D26" s="467"/>
      <c r="E26" s="468" t="s">
        <v>571</v>
      </c>
      <c r="F26" s="467"/>
      <c r="G26" s="469" t="s">
        <v>585</v>
      </c>
      <c r="H26" s="467"/>
      <c r="I26" s="334" t="s">
        <v>586</v>
      </c>
      <c r="J26" s="465"/>
      <c r="L26" s="470">
        <f t="shared" si="14"/>
        <v>0</v>
      </c>
      <c r="N26" s="471" t="str">
        <f t="shared" si="1"/>
        <v/>
      </c>
      <c r="O26" s="468" t="s">
        <v>571</v>
      </c>
      <c r="P26" s="471" t="str">
        <f t="shared" si="2"/>
        <v/>
      </c>
      <c r="R26" s="471" t="str">
        <f t="shared" si="3"/>
        <v/>
      </c>
      <c r="S26" s="468" t="s">
        <v>571</v>
      </c>
      <c r="T26" s="471" t="str">
        <f t="shared" si="4"/>
        <v/>
      </c>
      <c r="U26" s="469" t="s">
        <v>585</v>
      </c>
      <c r="V26" s="472" t="str">
        <f t="shared" si="5"/>
        <v/>
      </c>
      <c r="W26" s="334" t="s">
        <v>586</v>
      </c>
      <c r="X26" s="470">
        <f t="shared" si="6"/>
        <v>0</v>
      </c>
      <c r="Z26" s="471" t="str">
        <f t="shared" si="7"/>
        <v/>
      </c>
      <c r="AA26" s="468" t="s">
        <v>571</v>
      </c>
      <c r="AB26" s="471" t="str">
        <f t="shared" si="8"/>
        <v/>
      </c>
      <c r="AC26" s="469" t="s">
        <v>585</v>
      </c>
      <c r="AD26" s="473"/>
      <c r="AE26" s="334" t="s">
        <v>586</v>
      </c>
      <c r="AF26" s="470">
        <f t="shared" si="9"/>
        <v>0</v>
      </c>
      <c r="AH26" s="471" t="str">
        <f t="shared" si="10"/>
        <v/>
      </c>
      <c r="AI26" s="468" t="s">
        <v>571</v>
      </c>
      <c r="AJ26" s="471" t="str">
        <f t="shared" si="0"/>
        <v/>
      </c>
      <c r="AK26" s="469" t="s">
        <v>585</v>
      </c>
      <c r="AL26" s="473"/>
      <c r="AM26" s="334" t="s">
        <v>586</v>
      </c>
      <c r="AN26" s="470">
        <f t="shared" si="11"/>
        <v>0</v>
      </c>
      <c r="AP26" s="470">
        <f t="shared" si="12"/>
        <v>0</v>
      </c>
      <c r="AQ26" s="470">
        <f t="shared" si="13"/>
        <v>0</v>
      </c>
    </row>
    <row r="27" spans="2:44" ht="16.5" customHeight="1">
      <c r="B27" s="465"/>
      <c r="C27" s="466" t="s">
        <v>584</v>
      </c>
      <c r="D27" s="467"/>
      <c r="E27" s="468" t="s">
        <v>571</v>
      </c>
      <c r="F27" s="467"/>
      <c r="G27" s="469" t="s">
        <v>585</v>
      </c>
      <c r="H27" s="467"/>
      <c r="I27" s="334" t="s">
        <v>586</v>
      </c>
      <c r="J27" s="465"/>
      <c r="L27" s="470">
        <f t="shared" si="14"/>
        <v>0</v>
      </c>
      <c r="N27" s="471" t="str">
        <f t="shared" si="1"/>
        <v/>
      </c>
      <c r="O27" s="468" t="s">
        <v>571</v>
      </c>
      <c r="P27" s="471" t="str">
        <f t="shared" si="2"/>
        <v/>
      </c>
      <c r="R27" s="471" t="str">
        <f t="shared" si="3"/>
        <v/>
      </c>
      <c r="S27" s="468" t="s">
        <v>571</v>
      </c>
      <c r="T27" s="471" t="str">
        <f t="shared" si="4"/>
        <v/>
      </c>
      <c r="U27" s="469" t="s">
        <v>585</v>
      </c>
      <c r="V27" s="472" t="str">
        <f t="shared" si="5"/>
        <v/>
      </c>
      <c r="W27" s="334" t="s">
        <v>586</v>
      </c>
      <c r="X27" s="470">
        <f t="shared" si="6"/>
        <v>0</v>
      </c>
      <c r="Z27" s="471" t="str">
        <f t="shared" si="7"/>
        <v/>
      </c>
      <c r="AA27" s="468" t="s">
        <v>571</v>
      </c>
      <c r="AB27" s="471" t="str">
        <f t="shared" si="8"/>
        <v/>
      </c>
      <c r="AC27" s="469" t="s">
        <v>585</v>
      </c>
      <c r="AD27" s="473"/>
      <c r="AE27" s="334" t="s">
        <v>586</v>
      </c>
      <c r="AF27" s="470">
        <f t="shared" si="9"/>
        <v>0</v>
      </c>
      <c r="AH27" s="471" t="str">
        <f t="shared" si="10"/>
        <v/>
      </c>
      <c r="AI27" s="468" t="s">
        <v>571</v>
      </c>
      <c r="AJ27" s="471" t="str">
        <f t="shared" si="0"/>
        <v/>
      </c>
      <c r="AK27" s="469" t="s">
        <v>585</v>
      </c>
      <c r="AL27" s="473"/>
      <c r="AM27" s="334" t="s">
        <v>586</v>
      </c>
      <c r="AN27" s="470">
        <f t="shared" si="11"/>
        <v>0</v>
      </c>
      <c r="AP27" s="470">
        <f t="shared" si="12"/>
        <v>0</v>
      </c>
      <c r="AQ27" s="470">
        <f t="shared" si="13"/>
        <v>0</v>
      </c>
    </row>
    <row r="28" spans="2:44" ht="16.5" customHeight="1">
      <c r="B28" s="465"/>
      <c r="C28" s="466" t="s">
        <v>584</v>
      </c>
      <c r="D28" s="467"/>
      <c r="E28" s="468" t="s">
        <v>571</v>
      </c>
      <c r="F28" s="467"/>
      <c r="G28" s="469" t="s">
        <v>585</v>
      </c>
      <c r="H28" s="467"/>
      <c r="I28" s="334" t="s">
        <v>586</v>
      </c>
      <c r="J28" s="465"/>
      <c r="L28" s="470">
        <f t="shared" si="14"/>
        <v>0</v>
      </c>
      <c r="N28" s="471" t="str">
        <f t="shared" si="1"/>
        <v/>
      </c>
      <c r="O28" s="468" t="s">
        <v>571</v>
      </c>
      <c r="P28" s="471" t="str">
        <f t="shared" si="2"/>
        <v/>
      </c>
      <c r="R28" s="471" t="str">
        <f t="shared" si="3"/>
        <v/>
      </c>
      <c r="S28" s="468" t="s">
        <v>571</v>
      </c>
      <c r="T28" s="471" t="str">
        <f t="shared" si="4"/>
        <v/>
      </c>
      <c r="U28" s="469" t="s">
        <v>585</v>
      </c>
      <c r="V28" s="472" t="str">
        <f t="shared" si="5"/>
        <v/>
      </c>
      <c r="W28" s="334" t="s">
        <v>586</v>
      </c>
      <c r="X28" s="470">
        <f t="shared" si="6"/>
        <v>0</v>
      </c>
      <c r="Z28" s="471" t="str">
        <f t="shared" si="7"/>
        <v/>
      </c>
      <c r="AA28" s="468" t="s">
        <v>571</v>
      </c>
      <c r="AB28" s="471" t="str">
        <f t="shared" si="8"/>
        <v/>
      </c>
      <c r="AC28" s="469" t="s">
        <v>585</v>
      </c>
      <c r="AD28" s="473"/>
      <c r="AE28" s="334" t="s">
        <v>586</v>
      </c>
      <c r="AF28" s="470">
        <f t="shared" si="9"/>
        <v>0</v>
      </c>
      <c r="AH28" s="471" t="str">
        <f t="shared" si="10"/>
        <v/>
      </c>
      <c r="AI28" s="468" t="s">
        <v>571</v>
      </c>
      <c r="AJ28" s="471" t="str">
        <f t="shared" si="0"/>
        <v/>
      </c>
      <c r="AK28" s="469" t="s">
        <v>585</v>
      </c>
      <c r="AL28" s="473"/>
      <c r="AM28" s="334" t="s">
        <v>586</v>
      </c>
      <c r="AN28" s="470">
        <f t="shared" si="11"/>
        <v>0</v>
      </c>
      <c r="AP28" s="470">
        <f t="shared" si="12"/>
        <v>0</v>
      </c>
      <c r="AQ28" s="470">
        <f t="shared" si="13"/>
        <v>0</v>
      </c>
    </row>
    <row r="29" spans="2:44" ht="16.5" customHeight="1">
      <c r="B29" s="465"/>
      <c r="C29" s="466" t="s">
        <v>584</v>
      </c>
      <c r="D29" s="467"/>
      <c r="E29" s="468" t="s">
        <v>571</v>
      </c>
      <c r="F29" s="467"/>
      <c r="G29" s="469" t="s">
        <v>585</v>
      </c>
      <c r="H29" s="467"/>
      <c r="I29" s="334" t="s">
        <v>586</v>
      </c>
      <c r="J29" s="465"/>
      <c r="L29" s="470">
        <f t="shared" si="14"/>
        <v>0</v>
      </c>
      <c r="N29" s="471" t="str">
        <f t="shared" si="1"/>
        <v/>
      </c>
      <c r="O29" s="468" t="s">
        <v>571</v>
      </c>
      <c r="P29" s="471" t="str">
        <f t="shared" si="2"/>
        <v/>
      </c>
      <c r="R29" s="471" t="str">
        <f t="shared" si="3"/>
        <v/>
      </c>
      <c r="S29" s="468" t="s">
        <v>571</v>
      </c>
      <c r="T29" s="471" t="str">
        <f t="shared" si="4"/>
        <v/>
      </c>
      <c r="U29" s="469" t="s">
        <v>585</v>
      </c>
      <c r="V29" s="472" t="str">
        <f t="shared" si="5"/>
        <v/>
      </c>
      <c r="W29" s="334" t="s">
        <v>586</v>
      </c>
      <c r="X29" s="470">
        <f t="shared" si="6"/>
        <v>0</v>
      </c>
      <c r="Z29" s="471" t="str">
        <f t="shared" si="7"/>
        <v/>
      </c>
      <c r="AA29" s="468" t="s">
        <v>571</v>
      </c>
      <c r="AB29" s="471" t="str">
        <f t="shared" si="8"/>
        <v/>
      </c>
      <c r="AC29" s="469" t="s">
        <v>585</v>
      </c>
      <c r="AD29" s="473"/>
      <c r="AE29" s="334" t="s">
        <v>586</v>
      </c>
      <c r="AF29" s="470">
        <f t="shared" si="9"/>
        <v>0</v>
      </c>
      <c r="AH29" s="471" t="str">
        <f t="shared" si="10"/>
        <v/>
      </c>
      <c r="AI29" s="468" t="s">
        <v>571</v>
      </c>
      <c r="AJ29" s="471" t="str">
        <f t="shared" si="0"/>
        <v/>
      </c>
      <c r="AK29" s="469" t="s">
        <v>585</v>
      </c>
      <c r="AL29" s="473"/>
      <c r="AM29" s="334" t="s">
        <v>586</v>
      </c>
      <c r="AN29" s="470">
        <f t="shared" si="11"/>
        <v>0</v>
      </c>
      <c r="AP29" s="470">
        <f t="shared" si="12"/>
        <v>0</v>
      </c>
      <c r="AQ29" s="470">
        <f t="shared" si="13"/>
        <v>0</v>
      </c>
    </row>
    <row r="30" spans="2:44" ht="16.5" customHeight="1">
      <c r="B30" s="465"/>
      <c r="C30" s="466" t="s">
        <v>584</v>
      </c>
      <c r="D30" s="467"/>
      <c r="E30" s="468" t="s">
        <v>571</v>
      </c>
      <c r="F30" s="467"/>
      <c r="G30" s="469" t="s">
        <v>585</v>
      </c>
      <c r="H30" s="467"/>
      <c r="I30" s="334" t="s">
        <v>586</v>
      </c>
      <c r="J30" s="465"/>
      <c r="L30" s="470">
        <f t="shared" si="14"/>
        <v>0</v>
      </c>
      <c r="N30" s="471" t="str">
        <f t="shared" si="1"/>
        <v/>
      </c>
      <c r="O30" s="468" t="s">
        <v>571</v>
      </c>
      <c r="P30" s="471" t="str">
        <f t="shared" si="2"/>
        <v/>
      </c>
      <c r="R30" s="471" t="str">
        <f t="shared" si="3"/>
        <v/>
      </c>
      <c r="S30" s="468" t="s">
        <v>571</v>
      </c>
      <c r="T30" s="471" t="str">
        <f t="shared" si="4"/>
        <v/>
      </c>
      <c r="U30" s="469" t="s">
        <v>585</v>
      </c>
      <c r="V30" s="472" t="str">
        <f t="shared" si="5"/>
        <v/>
      </c>
      <c r="W30" s="334" t="s">
        <v>586</v>
      </c>
      <c r="X30" s="470">
        <f t="shared" si="6"/>
        <v>0</v>
      </c>
      <c r="Z30" s="471" t="str">
        <f>IF(OR(D30="",AND(D30&lt;F30,N30&lt;=D30,D30&lt;=P30,N30&lt;=F30,F30&lt;=P30),J30="宿直"),"",IF(D30&lt;F30,IF(AND(D30&lt;P30,P30&lt;F30),P30,D30),IF(D30&lt;P30,P30,D30)))</f>
        <v/>
      </c>
      <c r="AA30" s="468" t="s">
        <v>571</v>
      </c>
      <c r="AB30" s="471" t="str">
        <f t="shared" si="8"/>
        <v/>
      </c>
      <c r="AC30" s="469" t="s">
        <v>585</v>
      </c>
      <c r="AD30" s="473"/>
      <c r="AE30" s="334" t="s">
        <v>586</v>
      </c>
      <c r="AF30" s="470">
        <f t="shared" si="9"/>
        <v>0</v>
      </c>
      <c r="AH30" s="471" t="str">
        <f t="shared" si="10"/>
        <v/>
      </c>
      <c r="AI30" s="468" t="s">
        <v>571</v>
      </c>
      <c r="AJ30" s="471" t="str">
        <f t="shared" si="0"/>
        <v/>
      </c>
      <c r="AK30" s="469" t="s">
        <v>585</v>
      </c>
      <c r="AL30" s="473"/>
      <c r="AM30" s="334" t="s">
        <v>586</v>
      </c>
      <c r="AN30" s="470">
        <f t="shared" si="11"/>
        <v>0</v>
      </c>
      <c r="AP30" s="470">
        <f t="shared" si="12"/>
        <v>0</v>
      </c>
      <c r="AQ30" s="470">
        <f t="shared" si="13"/>
        <v>0</v>
      </c>
    </row>
    <row r="31" spans="2:44" ht="16.5" customHeight="1">
      <c r="B31" s="465"/>
      <c r="C31" s="466" t="s">
        <v>584</v>
      </c>
      <c r="D31" s="467"/>
      <c r="E31" s="468" t="s">
        <v>571</v>
      </c>
      <c r="F31" s="467"/>
      <c r="G31" s="469" t="s">
        <v>585</v>
      </c>
      <c r="H31" s="467"/>
      <c r="I31" s="334" t="s">
        <v>586</v>
      </c>
      <c r="J31" s="465"/>
      <c r="L31" s="470">
        <f t="shared" si="14"/>
        <v>0</v>
      </c>
      <c r="N31" s="471" t="str">
        <f t="shared" si="1"/>
        <v/>
      </c>
      <c r="O31" s="468" t="s">
        <v>571</v>
      </c>
      <c r="P31" s="471" t="str">
        <f t="shared" si="2"/>
        <v/>
      </c>
      <c r="R31" s="471" t="str">
        <f t="shared" si="3"/>
        <v/>
      </c>
      <c r="S31" s="468" t="s">
        <v>571</v>
      </c>
      <c r="T31" s="471" t="str">
        <f t="shared" si="4"/>
        <v/>
      </c>
      <c r="U31" s="469" t="s">
        <v>585</v>
      </c>
      <c r="V31" s="472" t="str">
        <f t="shared" si="5"/>
        <v/>
      </c>
      <c r="W31" s="334" t="s">
        <v>586</v>
      </c>
      <c r="X31" s="470">
        <f t="shared" si="6"/>
        <v>0</v>
      </c>
      <c r="Z31" s="471" t="str">
        <f t="shared" si="7"/>
        <v/>
      </c>
      <c r="AA31" s="468" t="s">
        <v>571</v>
      </c>
      <c r="AB31" s="471" t="str">
        <f t="shared" si="8"/>
        <v/>
      </c>
      <c r="AC31" s="469" t="s">
        <v>585</v>
      </c>
      <c r="AD31" s="473"/>
      <c r="AE31" s="334" t="s">
        <v>586</v>
      </c>
      <c r="AF31" s="470">
        <f t="shared" si="9"/>
        <v>0</v>
      </c>
      <c r="AH31" s="471" t="str">
        <f t="shared" si="10"/>
        <v/>
      </c>
      <c r="AI31" s="468" t="s">
        <v>571</v>
      </c>
      <c r="AJ31" s="471" t="str">
        <f t="shared" si="0"/>
        <v/>
      </c>
      <c r="AK31" s="469" t="s">
        <v>585</v>
      </c>
      <c r="AL31" s="473"/>
      <c r="AM31" s="334" t="s">
        <v>586</v>
      </c>
      <c r="AN31" s="470">
        <f t="shared" si="11"/>
        <v>0</v>
      </c>
      <c r="AP31" s="470">
        <f t="shared" si="12"/>
        <v>0</v>
      </c>
      <c r="AQ31" s="470">
        <f t="shared" si="13"/>
        <v>0</v>
      </c>
    </row>
    <row r="32" spans="2:44" ht="16.5" customHeight="1">
      <c r="B32" s="465"/>
      <c r="C32" s="466" t="s">
        <v>584</v>
      </c>
      <c r="D32" s="467"/>
      <c r="E32" s="468" t="s">
        <v>571</v>
      </c>
      <c r="F32" s="467"/>
      <c r="G32" s="469" t="s">
        <v>585</v>
      </c>
      <c r="H32" s="467"/>
      <c r="I32" s="334" t="s">
        <v>586</v>
      </c>
      <c r="J32" s="465"/>
      <c r="L32" s="470">
        <f t="shared" si="14"/>
        <v>0</v>
      </c>
      <c r="N32" s="471" t="str">
        <f t="shared" si="1"/>
        <v/>
      </c>
      <c r="O32" s="468" t="s">
        <v>571</v>
      </c>
      <c r="P32" s="471" t="str">
        <f t="shared" si="2"/>
        <v/>
      </c>
      <c r="R32" s="471" t="str">
        <f t="shared" si="3"/>
        <v/>
      </c>
      <c r="S32" s="468" t="s">
        <v>571</v>
      </c>
      <c r="T32" s="471" t="str">
        <f t="shared" si="4"/>
        <v/>
      </c>
      <c r="U32" s="469" t="s">
        <v>585</v>
      </c>
      <c r="V32" s="472" t="str">
        <f t="shared" si="5"/>
        <v/>
      </c>
      <c r="W32" s="334" t="s">
        <v>586</v>
      </c>
      <c r="X32" s="470">
        <f t="shared" si="6"/>
        <v>0</v>
      </c>
      <c r="Z32" s="471" t="str">
        <f t="shared" si="7"/>
        <v/>
      </c>
      <c r="AA32" s="468" t="s">
        <v>571</v>
      </c>
      <c r="AB32" s="471" t="str">
        <f t="shared" si="8"/>
        <v/>
      </c>
      <c r="AC32" s="469" t="s">
        <v>585</v>
      </c>
      <c r="AD32" s="473"/>
      <c r="AE32" s="334" t="s">
        <v>586</v>
      </c>
      <c r="AF32" s="470">
        <f t="shared" si="9"/>
        <v>0</v>
      </c>
      <c r="AH32" s="471" t="str">
        <f t="shared" si="10"/>
        <v/>
      </c>
      <c r="AI32" s="468" t="s">
        <v>571</v>
      </c>
      <c r="AJ32" s="471" t="str">
        <f t="shared" si="0"/>
        <v/>
      </c>
      <c r="AK32" s="469" t="s">
        <v>585</v>
      </c>
      <c r="AL32" s="473"/>
      <c r="AM32" s="334" t="s">
        <v>586</v>
      </c>
      <c r="AN32" s="470">
        <f t="shared" si="11"/>
        <v>0</v>
      </c>
      <c r="AP32" s="470">
        <f t="shared" si="12"/>
        <v>0</v>
      </c>
      <c r="AQ32" s="470">
        <f t="shared" si="13"/>
        <v>0</v>
      </c>
    </row>
    <row r="33" spans="2:43" ht="16.5" customHeight="1">
      <c r="B33" s="465"/>
      <c r="C33" s="466" t="s">
        <v>584</v>
      </c>
      <c r="D33" s="467"/>
      <c r="E33" s="468" t="s">
        <v>571</v>
      </c>
      <c r="F33" s="467"/>
      <c r="G33" s="469" t="s">
        <v>585</v>
      </c>
      <c r="H33" s="467"/>
      <c r="I33" s="334" t="s">
        <v>586</v>
      </c>
      <c r="J33" s="465"/>
      <c r="L33" s="470">
        <f t="shared" si="14"/>
        <v>0</v>
      </c>
      <c r="N33" s="471" t="str">
        <f t="shared" si="1"/>
        <v/>
      </c>
      <c r="O33" s="468" t="s">
        <v>571</v>
      </c>
      <c r="P33" s="471" t="str">
        <f t="shared" si="2"/>
        <v/>
      </c>
      <c r="R33" s="471" t="str">
        <f t="shared" si="3"/>
        <v/>
      </c>
      <c r="S33" s="468" t="s">
        <v>571</v>
      </c>
      <c r="T33" s="471" t="str">
        <f t="shared" si="4"/>
        <v/>
      </c>
      <c r="U33" s="469" t="s">
        <v>585</v>
      </c>
      <c r="V33" s="472" t="str">
        <f t="shared" si="5"/>
        <v/>
      </c>
      <c r="W33" s="334" t="s">
        <v>586</v>
      </c>
      <c r="X33" s="470">
        <f t="shared" si="6"/>
        <v>0</v>
      </c>
      <c r="Z33" s="471" t="str">
        <f t="shared" si="7"/>
        <v/>
      </c>
      <c r="AA33" s="468" t="s">
        <v>571</v>
      </c>
      <c r="AB33" s="471" t="str">
        <f t="shared" si="8"/>
        <v/>
      </c>
      <c r="AC33" s="469" t="s">
        <v>585</v>
      </c>
      <c r="AD33" s="473"/>
      <c r="AE33" s="334" t="s">
        <v>586</v>
      </c>
      <c r="AF33" s="470">
        <f t="shared" si="9"/>
        <v>0</v>
      </c>
      <c r="AH33" s="471" t="str">
        <f t="shared" si="10"/>
        <v/>
      </c>
      <c r="AI33" s="468" t="s">
        <v>571</v>
      </c>
      <c r="AJ33" s="471" t="str">
        <f t="shared" si="0"/>
        <v/>
      </c>
      <c r="AK33" s="469" t="s">
        <v>585</v>
      </c>
      <c r="AL33" s="473"/>
      <c r="AM33" s="334" t="s">
        <v>586</v>
      </c>
      <c r="AN33" s="470">
        <f t="shared" si="11"/>
        <v>0</v>
      </c>
      <c r="AP33" s="470">
        <f t="shared" si="12"/>
        <v>0</v>
      </c>
      <c r="AQ33" s="470">
        <f t="shared" si="13"/>
        <v>0</v>
      </c>
    </row>
    <row r="34" spans="2:43" ht="16.5" customHeight="1">
      <c r="B34" s="465"/>
      <c r="C34" s="466" t="s">
        <v>584</v>
      </c>
      <c r="D34" s="467"/>
      <c r="E34" s="468" t="s">
        <v>571</v>
      </c>
      <c r="F34" s="467"/>
      <c r="G34" s="469" t="s">
        <v>585</v>
      </c>
      <c r="H34" s="467"/>
      <c r="I34" s="334" t="s">
        <v>586</v>
      </c>
      <c r="J34" s="465"/>
      <c r="L34" s="470">
        <f t="shared" si="14"/>
        <v>0</v>
      </c>
      <c r="N34" s="471" t="str">
        <f t="shared" si="1"/>
        <v/>
      </c>
      <c r="O34" s="468" t="s">
        <v>571</v>
      </c>
      <c r="P34" s="471" t="str">
        <f t="shared" si="2"/>
        <v/>
      </c>
      <c r="R34" s="471" t="str">
        <f t="shared" si="3"/>
        <v/>
      </c>
      <c r="S34" s="468" t="s">
        <v>571</v>
      </c>
      <c r="T34" s="471" t="str">
        <f t="shared" si="4"/>
        <v/>
      </c>
      <c r="U34" s="469" t="s">
        <v>585</v>
      </c>
      <c r="V34" s="472" t="str">
        <f t="shared" si="5"/>
        <v/>
      </c>
      <c r="W34" s="334" t="s">
        <v>586</v>
      </c>
      <c r="X34" s="470">
        <f t="shared" si="6"/>
        <v>0</v>
      </c>
      <c r="Z34" s="471" t="str">
        <f t="shared" si="7"/>
        <v/>
      </c>
      <c r="AA34" s="468" t="s">
        <v>571</v>
      </c>
      <c r="AB34" s="471" t="str">
        <f t="shared" si="8"/>
        <v/>
      </c>
      <c r="AC34" s="469" t="s">
        <v>585</v>
      </c>
      <c r="AD34" s="473"/>
      <c r="AE34" s="334" t="s">
        <v>586</v>
      </c>
      <c r="AF34" s="470">
        <f t="shared" si="9"/>
        <v>0</v>
      </c>
      <c r="AH34" s="471" t="str">
        <f t="shared" si="10"/>
        <v/>
      </c>
      <c r="AI34" s="468" t="s">
        <v>571</v>
      </c>
      <c r="AJ34" s="471" t="str">
        <f t="shared" si="0"/>
        <v/>
      </c>
      <c r="AK34" s="469" t="s">
        <v>585</v>
      </c>
      <c r="AL34" s="473"/>
      <c r="AM34" s="334" t="s">
        <v>586</v>
      </c>
      <c r="AN34" s="470">
        <f t="shared" si="11"/>
        <v>0</v>
      </c>
      <c r="AP34" s="470">
        <f t="shared" si="12"/>
        <v>0</v>
      </c>
      <c r="AQ34" s="470">
        <f t="shared" si="13"/>
        <v>0</v>
      </c>
    </row>
    <row r="35" spans="2:43" ht="16.5" customHeight="1">
      <c r="B35" s="465"/>
      <c r="C35" s="466" t="s">
        <v>584</v>
      </c>
      <c r="D35" s="467"/>
      <c r="E35" s="468" t="s">
        <v>571</v>
      </c>
      <c r="F35" s="467"/>
      <c r="G35" s="469" t="s">
        <v>585</v>
      </c>
      <c r="H35" s="467"/>
      <c r="I35" s="334" t="s">
        <v>586</v>
      </c>
      <c r="J35" s="465"/>
      <c r="L35" s="470">
        <f t="shared" si="14"/>
        <v>0</v>
      </c>
      <c r="N35" s="471" t="str">
        <f t="shared" si="1"/>
        <v/>
      </c>
      <c r="O35" s="468" t="s">
        <v>571</v>
      </c>
      <c r="P35" s="471" t="str">
        <f t="shared" si="2"/>
        <v/>
      </c>
      <c r="R35" s="471" t="str">
        <f t="shared" si="3"/>
        <v/>
      </c>
      <c r="S35" s="468" t="s">
        <v>571</v>
      </c>
      <c r="T35" s="471" t="str">
        <f t="shared" si="4"/>
        <v/>
      </c>
      <c r="U35" s="469" t="s">
        <v>585</v>
      </c>
      <c r="V35" s="472" t="str">
        <f t="shared" si="5"/>
        <v/>
      </c>
      <c r="W35" s="334" t="s">
        <v>586</v>
      </c>
      <c r="X35" s="470">
        <f t="shared" si="6"/>
        <v>0</v>
      </c>
      <c r="Z35" s="471" t="str">
        <f t="shared" si="7"/>
        <v/>
      </c>
      <c r="AA35" s="468" t="s">
        <v>571</v>
      </c>
      <c r="AB35" s="471" t="str">
        <f t="shared" si="8"/>
        <v/>
      </c>
      <c r="AC35" s="469" t="s">
        <v>585</v>
      </c>
      <c r="AD35" s="473"/>
      <c r="AE35" s="334" t="s">
        <v>586</v>
      </c>
      <c r="AF35" s="470">
        <f t="shared" si="9"/>
        <v>0</v>
      </c>
      <c r="AH35" s="471" t="str">
        <f t="shared" si="10"/>
        <v/>
      </c>
      <c r="AI35" s="468" t="s">
        <v>571</v>
      </c>
      <c r="AJ35" s="471" t="str">
        <f t="shared" si="0"/>
        <v/>
      </c>
      <c r="AK35" s="469" t="s">
        <v>585</v>
      </c>
      <c r="AL35" s="473"/>
      <c r="AM35" s="334" t="s">
        <v>586</v>
      </c>
      <c r="AN35" s="470">
        <f t="shared" si="11"/>
        <v>0</v>
      </c>
      <c r="AP35" s="470">
        <f t="shared" si="12"/>
        <v>0</v>
      </c>
      <c r="AQ35" s="470">
        <f t="shared" si="13"/>
        <v>0</v>
      </c>
    </row>
    <row r="36" spans="2:43" ht="16.5" customHeight="1">
      <c r="B36" s="465"/>
      <c r="C36" s="466" t="s">
        <v>584</v>
      </c>
      <c r="D36" s="467"/>
      <c r="E36" s="468" t="s">
        <v>571</v>
      </c>
      <c r="F36" s="467"/>
      <c r="G36" s="469" t="s">
        <v>585</v>
      </c>
      <c r="H36" s="467"/>
      <c r="I36" s="334" t="s">
        <v>586</v>
      </c>
      <c r="J36" s="465"/>
      <c r="L36" s="470">
        <f t="shared" si="14"/>
        <v>0</v>
      </c>
      <c r="N36" s="471" t="str">
        <f t="shared" si="1"/>
        <v/>
      </c>
      <c r="O36" s="468" t="s">
        <v>571</v>
      </c>
      <c r="P36" s="471" t="str">
        <f t="shared" si="2"/>
        <v/>
      </c>
      <c r="R36" s="471" t="str">
        <f t="shared" si="3"/>
        <v/>
      </c>
      <c r="S36" s="468" t="s">
        <v>571</v>
      </c>
      <c r="T36" s="471" t="str">
        <f t="shared" si="4"/>
        <v/>
      </c>
      <c r="U36" s="469" t="s">
        <v>585</v>
      </c>
      <c r="V36" s="472" t="str">
        <f t="shared" si="5"/>
        <v/>
      </c>
      <c r="W36" s="334" t="s">
        <v>586</v>
      </c>
      <c r="X36" s="470">
        <f t="shared" si="6"/>
        <v>0</v>
      </c>
      <c r="Z36" s="471" t="str">
        <f t="shared" si="7"/>
        <v/>
      </c>
      <c r="AA36" s="468" t="s">
        <v>571</v>
      </c>
      <c r="AB36" s="471" t="str">
        <f t="shared" si="8"/>
        <v/>
      </c>
      <c r="AC36" s="469" t="s">
        <v>585</v>
      </c>
      <c r="AD36" s="473"/>
      <c r="AE36" s="334" t="s">
        <v>586</v>
      </c>
      <c r="AF36" s="470">
        <f t="shared" si="9"/>
        <v>0</v>
      </c>
      <c r="AH36" s="471" t="str">
        <f t="shared" si="10"/>
        <v/>
      </c>
      <c r="AI36" s="468" t="s">
        <v>571</v>
      </c>
      <c r="AJ36" s="471" t="str">
        <f t="shared" si="0"/>
        <v/>
      </c>
      <c r="AK36" s="469" t="s">
        <v>585</v>
      </c>
      <c r="AL36" s="473"/>
      <c r="AM36" s="334" t="s">
        <v>586</v>
      </c>
      <c r="AN36" s="470">
        <f t="shared" si="11"/>
        <v>0</v>
      </c>
      <c r="AP36" s="470">
        <f t="shared" si="12"/>
        <v>0</v>
      </c>
      <c r="AQ36" s="470">
        <f t="shared" si="13"/>
        <v>0</v>
      </c>
    </row>
    <row r="37" spans="2:43" s="480" customFormat="1" ht="16.5" customHeight="1">
      <c r="B37" s="465"/>
      <c r="C37" s="476" t="s">
        <v>584</v>
      </c>
      <c r="D37" s="467"/>
      <c r="E37" s="477" t="s">
        <v>571</v>
      </c>
      <c r="F37" s="467"/>
      <c r="G37" s="478" t="s">
        <v>585</v>
      </c>
      <c r="H37" s="467"/>
      <c r="I37" s="479" t="s">
        <v>586</v>
      </c>
      <c r="J37" s="465"/>
      <c r="L37" s="470">
        <f t="shared" si="14"/>
        <v>0</v>
      </c>
      <c r="N37" s="471" t="str">
        <f t="shared" si="1"/>
        <v/>
      </c>
      <c r="O37" s="477" t="s">
        <v>571</v>
      </c>
      <c r="P37" s="471" t="str">
        <f t="shared" si="2"/>
        <v/>
      </c>
      <c r="R37" s="471" t="str">
        <f t="shared" si="3"/>
        <v/>
      </c>
      <c r="S37" s="477" t="s">
        <v>571</v>
      </c>
      <c r="T37" s="471" t="str">
        <f t="shared" si="4"/>
        <v/>
      </c>
      <c r="U37" s="478" t="s">
        <v>585</v>
      </c>
      <c r="V37" s="472" t="str">
        <f t="shared" si="5"/>
        <v/>
      </c>
      <c r="W37" s="479" t="s">
        <v>586</v>
      </c>
      <c r="X37" s="470">
        <f t="shared" si="6"/>
        <v>0</v>
      </c>
      <c r="Z37" s="471" t="str">
        <f t="shared" si="7"/>
        <v/>
      </c>
      <c r="AA37" s="477" t="s">
        <v>571</v>
      </c>
      <c r="AB37" s="471" t="str">
        <f t="shared" si="8"/>
        <v/>
      </c>
      <c r="AC37" s="478" t="s">
        <v>585</v>
      </c>
      <c r="AD37" s="473"/>
      <c r="AE37" s="479" t="s">
        <v>586</v>
      </c>
      <c r="AF37" s="470">
        <f t="shared" si="9"/>
        <v>0</v>
      </c>
      <c r="AH37" s="471" t="str">
        <f t="shared" si="10"/>
        <v/>
      </c>
      <c r="AI37" s="477" t="s">
        <v>571</v>
      </c>
      <c r="AJ37" s="471" t="str">
        <f t="shared" si="0"/>
        <v/>
      </c>
      <c r="AK37" s="478" t="s">
        <v>585</v>
      </c>
      <c r="AL37" s="473"/>
      <c r="AM37" s="479" t="s">
        <v>586</v>
      </c>
      <c r="AN37" s="470">
        <f t="shared" si="11"/>
        <v>0</v>
      </c>
      <c r="AP37" s="470">
        <f t="shared" si="12"/>
        <v>0</v>
      </c>
      <c r="AQ37" s="470">
        <f t="shared" si="13"/>
        <v>0</v>
      </c>
    </row>
    <row r="38" spans="2:43" s="480" customFormat="1" ht="16.5" customHeight="1">
      <c r="B38" s="465"/>
      <c r="C38" s="476" t="s">
        <v>584</v>
      </c>
      <c r="D38" s="467"/>
      <c r="E38" s="477" t="s">
        <v>571</v>
      </c>
      <c r="F38" s="467"/>
      <c r="G38" s="478" t="s">
        <v>585</v>
      </c>
      <c r="H38" s="467"/>
      <c r="I38" s="479" t="s">
        <v>586</v>
      </c>
      <c r="J38" s="465"/>
      <c r="L38" s="470">
        <f t="shared" si="14"/>
        <v>0</v>
      </c>
      <c r="N38" s="471" t="str">
        <f t="shared" si="1"/>
        <v/>
      </c>
      <c r="O38" s="477" t="s">
        <v>571</v>
      </c>
      <c r="P38" s="471" t="str">
        <f t="shared" si="2"/>
        <v/>
      </c>
      <c r="R38" s="471" t="str">
        <f t="shared" si="3"/>
        <v/>
      </c>
      <c r="S38" s="477" t="s">
        <v>571</v>
      </c>
      <c r="T38" s="471" t="str">
        <f t="shared" si="4"/>
        <v/>
      </c>
      <c r="U38" s="478" t="s">
        <v>585</v>
      </c>
      <c r="V38" s="472" t="str">
        <f t="shared" si="5"/>
        <v/>
      </c>
      <c r="W38" s="479" t="s">
        <v>586</v>
      </c>
      <c r="X38" s="470">
        <f t="shared" si="6"/>
        <v>0</v>
      </c>
      <c r="Z38" s="471" t="str">
        <f t="shared" si="7"/>
        <v/>
      </c>
      <c r="AA38" s="477" t="s">
        <v>571</v>
      </c>
      <c r="AB38" s="471" t="str">
        <f t="shared" si="8"/>
        <v/>
      </c>
      <c r="AC38" s="478" t="s">
        <v>585</v>
      </c>
      <c r="AD38" s="473"/>
      <c r="AE38" s="479" t="s">
        <v>586</v>
      </c>
      <c r="AF38" s="470">
        <f t="shared" si="9"/>
        <v>0</v>
      </c>
      <c r="AH38" s="471" t="str">
        <f t="shared" si="10"/>
        <v/>
      </c>
      <c r="AI38" s="477" t="s">
        <v>571</v>
      </c>
      <c r="AJ38" s="471" t="str">
        <f t="shared" si="0"/>
        <v/>
      </c>
      <c r="AK38" s="478" t="s">
        <v>585</v>
      </c>
      <c r="AL38" s="473"/>
      <c r="AM38" s="479" t="s">
        <v>586</v>
      </c>
      <c r="AN38" s="470">
        <f t="shared" si="11"/>
        <v>0</v>
      </c>
      <c r="AP38" s="470">
        <f t="shared" si="12"/>
        <v>0</v>
      </c>
      <c r="AQ38" s="470">
        <f t="shared" si="13"/>
        <v>0</v>
      </c>
    </row>
    <row r="39" spans="2:43" s="480" customFormat="1" ht="16.5" customHeight="1">
      <c r="B39" s="465"/>
      <c r="C39" s="476" t="s">
        <v>584</v>
      </c>
      <c r="D39" s="467"/>
      <c r="E39" s="477" t="s">
        <v>571</v>
      </c>
      <c r="F39" s="467"/>
      <c r="G39" s="478" t="s">
        <v>585</v>
      </c>
      <c r="H39" s="467"/>
      <c r="I39" s="479" t="s">
        <v>586</v>
      </c>
      <c r="J39" s="465"/>
      <c r="L39" s="470">
        <f t="shared" si="14"/>
        <v>0</v>
      </c>
      <c r="N39" s="471" t="str">
        <f t="shared" si="1"/>
        <v/>
      </c>
      <c r="O39" s="477" t="s">
        <v>571</v>
      </c>
      <c r="P39" s="471" t="str">
        <f t="shared" si="2"/>
        <v/>
      </c>
      <c r="R39" s="471" t="str">
        <f t="shared" si="3"/>
        <v/>
      </c>
      <c r="S39" s="477" t="s">
        <v>571</v>
      </c>
      <c r="T39" s="471" t="str">
        <f t="shared" si="4"/>
        <v/>
      </c>
      <c r="U39" s="478" t="s">
        <v>585</v>
      </c>
      <c r="V39" s="472" t="str">
        <f t="shared" si="5"/>
        <v/>
      </c>
      <c r="W39" s="479" t="s">
        <v>586</v>
      </c>
      <c r="X39" s="470">
        <f t="shared" si="6"/>
        <v>0</v>
      </c>
      <c r="Z39" s="471" t="str">
        <f t="shared" si="7"/>
        <v/>
      </c>
      <c r="AA39" s="477" t="s">
        <v>571</v>
      </c>
      <c r="AB39" s="471" t="str">
        <f t="shared" si="8"/>
        <v/>
      </c>
      <c r="AC39" s="478" t="s">
        <v>585</v>
      </c>
      <c r="AD39" s="473"/>
      <c r="AE39" s="479" t="s">
        <v>586</v>
      </c>
      <c r="AF39" s="470">
        <f t="shared" si="9"/>
        <v>0</v>
      </c>
      <c r="AH39" s="471" t="str">
        <f t="shared" si="10"/>
        <v/>
      </c>
      <c r="AI39" s="477" t="s">
        <v>571</v>
      </c>
      <c r="AJ39" s="471" t="str">
        <f t="shared" si="0"/>
        <v/>
      </c>
      <c r="AK39" s="478" t="s">
        <v>585</v>
      </c>
      <c r="AL39" s="473"/>
      <c r="AM39" s="479" t="s">
        <v>586</v>
      </c>
      <c r="AN39" s="470">
        <f t="shared" si="11"/>
        <v>0</v>
      </c>
      <c r="AP39" s="470">
        <f t="shared" si="12"/>
        <v>0</v>
      </c>
      <c r="AQ39" s="470">
        <f t="shared" si="13"/>
        <v>0</v>
      </c>
    </row>
    <row r="40" spans="2:43" s="480" customFormat="1" ht="16.5" customHeight="1">
      <c r="B40" s="465"/>
      <c r="C40" s="476" t="s">
        <v>584</v>
      </c>
      <c r="D40" s="467"/>
      <c r="E40" s="477" t="s">
        <v>571</v>
      </c>
      <c r="F40" s="467"/>
      <c r="G40" s="478" t="s">
        <v>585</v>
      </c>
      <c r="H40" s="467"/>
      <c r="I40" s="479" t="s">
        <v>586</v>
      </c>
      <c r="J40" s="465"/>
      <c r="L40" s="470">
        <f>IF(OR(D40="",F40=""),0,(IF(D40&gt;F40,1,0)-D40+F40-H40)*24)</f>
        <v>0</v>
      </c>
      <c r="N40" s="471" t="str">
        <f t="shared" si="1"/>
        <v/>
      </c>
      <c r="O40" s="477" t="s">
        <v>571</v>
      </c>
      <c r="P40" s="471" t="str">
        <f t="shared" si="2"/>
        <v/>
      </c>
      <c r="R40" s="471" t="str">
        <f>IF(OR(D40="",D40&lt;N40,P40&lt;=D40),"",D40)</f>
        <v/>
      </c>
      <c r="S40" s="477" t="s">
        <v>571</v>
      </c>
      <c r="T40" s="471" t="str">
        <f>IF(R40="","",IF(D40&lt;F40,IF(F40&lt;=P40,F40,P40),P40))</f>
        <v/>
      </c>
      <c r="U40" s="478" t="s">
        <v>585</v>
      </c>
      <c r="V40" s="472" t="str">
        <f t="shared" si="5"/>
        <v/>
      </c>
      <c r="W40" s="479" t="s">
        <v>586</v>
      </c>
      <c r="X40" s="470">
        <f t="shared" si="6"/>
        <v>0</v>
      </c>
      <c r="Z40" s="471" t="str">
        <f>IF(OR(D40="",AND(D40&lt;F40,N40&lt;=D40,D40&lt;=P40,N40&lt;=F40,F40&lt;=P40),J40="宿直"),"",IF(D40&lt;F40,IF(AND(D40&lt;P40,P40&lt;F40),P40,D40),IF(D40&lt;P40,P40,D40)))</f>
        <v/>
      </c>
      <c r="AA40" s="477" t="s">
        <v>571</v>
      </c>
      <c r="AB40" s="471" t="str">
        <f>IF(Z40="","",IF(D40&lt;F40,IF(P40&lt;F40,F40,IF(F40&lt;N40,F40,N40)),IF(F40&lt;N40,F40,N40)))</f>
        <v/>
      </c>
      <c r="AC40" s="478" t="s">
        <v>585</v>
      </c>
      <c r="AD40" s="473"/>
      <c r="AE40" s="479" t="s">
        <v>586</v>
      </c>
      <c r="AF40" s="470">
        <f>IF(Z40="",0,(IF(Z40&gt;AB40,1,0)-Z40+AB40-AD40)*24)</f>
        <v>0</v>
      </c>
      <c r="AH40" s="471" t="str">
        <f>IF(OR(AND(D40&lt;F40,D40&lt;N40),AND(D40&gt;F40,F40&gt;N40)),N40,"")</f>
        <v/>
      </c>
      <c r="AI40" s="477" t="s">
        <v>571</v>
      </c>
      <c r="AJ40" s="471" t="str">
        <f>IF(AH40="","",F40)</f>
        <v/>
      </c>
      <c r="AK40" s="478" t="s">
        <v>585</v>
      </c>
      <c r="AL40" s="473"/>
      <c r="AM40" s="479" t="s">
        <v>586</v>
      </c>
      <c r="AN40" s="470">
        <f>IF(AH40="",0,(IF(AH40&gt;AJ40,1,0)-AH40+AJ40-AL40)*24)</f>
        <v>0</v>
      </c>
      <c r="AP40" s="470">
        <f>X40+AN40</f>
        <v>0</v>
      </c>
      <c r="AQ40" s="470">
        <f>IF(X40&lt;6,X40,IF(X40&lt;8,X40+0.75,X40+1))+IF(AN40&lt;6,AN40,IF(AN40&lt;8,AN40+0.75,AN40+1))</f>
        <v>0</v>
      </c>
    </row>
    <row r="41" spans="2:43" s="480" customFormat="1" ht="16.5" customHeight="1">
      <c r="B41" s="465"/>
      <c r="C41" s="476" t="s">
        <v>584</v>
      </c>
      <c r="D41" s="467"/>
      <c r="E41" s="477" t="s">
        <v>571</v>
      </c>
      <c r="F41" s="467"/>
      <c r="G41" s="478" t="s">
        <v>585</v>
      </c>
      <c r="H41" s="467"/>
      <c r="I41" s="479" t="s">
        <v>586</v>
      </c>
      <c r="J41" s="465"/>
      <c r="L41" s="470">
        <f>IF(OR(D41="",F41=""),0,(IF(D41&gt;F41,1,0)-D41+F41-H41)*24)</f>
        <v>0</v>
      </c>
      <c r="N41" s="471" t="str">
        <f t="shared" si="1"/>
        <v/>
      </c>
      <c r="O41" s="477" t="s">
        <v>571</v>
      </c>
      <c r="P41" s="471" t="str">
        <f t="shared" si="2"/>
        <v/>
      </c>
      <c r="R41" s="471" t="str">
        <f>IF(OR(D41="",D41&lt;N41,P41&lt;=D41),"",D41)</f>
        <v/>
      </c>
      <c r="S41" s="477" t="s">
        <v>571</v>
      </c>
      <c r="T41" s="471" t="str">
        <f>IF(R41="","",IF(D41&lt;F41,IF(F41&lt;=P41,F41,P41),P41))</f>
        <v/>
      </c>
      <c r="U41" s="478" t="s">
        <v>585</v>
      </c>
      <c r="V41" s="472" t="str">
        <f t="shared" si="5"/>
        <v/>
      </c>
      <c r="W41" s="479" t="s">
        <v>586</v>
      </c>
      <c r="X41" s="470">
        <f t="shared" si="6"/>
        <v>0</v>
      </c>
      <c r="Z41" s="471" t="str">
        <f>IF(OR(D41="",AND(D41&lt;F41,N41&lt;=D41,D41&lt;=P41,N41&lt;=F41,F41&lt;=P41),J41="宿直"),"",IF(D41&lt;F41,IF(AND(D41&lt;P41,P41&lt;F41),P41,D41),IF(D41&lt;P41,P41,D41)))</f>
        <v/>
      </c>
      <c r="AA41" s="477" t="s">
        <v>571</v>
      </c>
      <c r="AB41" s="471" t="str">
        <f>IF(Z41="","",IF(D41&lt;F41,IF(P41&lt;F41,F41,IF(F41&lt;N41,F41,N41)),IF(F41&lt;N41,F41,N41)))</f>
        <v/>
      </c>
      <c r="AC41" s="478" t="s">
        <v>585</v>
      </c>
      <c r="AD41" s="473"/>
      <c r="AE41" s="479" t="s">
        <v>586</v>
      </c>
      <c r="AF41" s="470">
        <f>IF(Z41="",0,(IF(Z41&gt;AB41,1,0)-Z41+AB41-AD41)*24)</f>
        <v>0</v>
      </c>
      <c r="AH41" s="471" t="str">
        <f>IF(OR(AND(D41&lt;F41,D41&lt;N41),AND(D41&gt;F41,F41&gt;N41)),N41,"")</f>
        <v/>
      </c>
      <c r="AI41" s="477" t="s">
        <v>571</v>
      </c>
      <c r="AJ41" s="471" t="str">
        <f>IF(AH41="","",F41)</f>
        <v/>
      </c>
      <c r="AK41" s="478" t="s">
        <v>585</v>
      </c>
      <c r="AL41" s="473"/>
      <c r="AM41" s="479" t="s">
        <v>586</v>
      </c>
      <c r="AN41" s="470">
        <f>IF(AH41="",0,(IF(AH41&gt;AJ41,1,0)-AH41+AJ41-AL41)*24)</f>
        <v>0</v>
      </c>
      <c r="AP41" s="470">
        <f>X41+AN41</f>
        <v>0</v>
      </c>
      <c r="AQ41" s="470">
        <f>IF(X41&lt;6,X41,IF(X41&lt;8,X41+0.75,X41+1))+IF(AN41&lt;6,AN41,IF(AN41&lt;8,AN41+0.75,AN41+1))</f>
        <v>0</v>
      </c>
    </row>
    <row r="42" spans="2:43" s="480" customFormat="1" ht="16.5" customHeight="1">
      <c r="B42" s="465"/>
      <c r="C42" s="476" t="s">
        <v>584</v>
      </c>
      <c r="D42" s="467"/>
      <c r="E42" s="477" t="s">
        <v>571</v>
      </c>
      <c r="F42" s="467"/>
      <c r="G42" s="478" t="s">
        <v>585</v>
      </c>
      <c r="H42" s="467"/>
      <c r="I42" s="479" t="s">
        <v>586</v>
      </c>
      <c r="J42" s="465"/>
      <c r="L42" s="470">
        <f>IF(OR(D42="",F42=""),0,(IF(D42&gt;F42,1,0)-D42+F42-H42)*24)</f>
        <v>0</v>
      </c>
      <c r="N42" s="471" t="str">
        <f t="shared" si="1"/>
        <v/>
      </c>
      <c r="O42" s="477" t="s">
        <v>571</v>
      </c>
      <c r="P42" s="471" t="str">
        <f t="shared" si="2"/>
        <v/>
      </c>
      <c r="R42" s="471" t="str">
        <f>IF(OR(D42="",D42&lt;N42,P42&lt;=D42),"",D42)</f>
        <v/>
      </c>
      <c r="S42" s="477" t="s">
        <v>571</v>
      </c>
      <c r="T42" s="471" t="str">
        <f>IF(R42="","",IF(D42&lt;F42,IF(F42&lt;=P42,F42,P42),P42))</f>
        <v/>
      </c>
      <c r="U42" s="478" t="s">
        <v>585</v>
      </c>
      <c r="V42" s="472" t="str">
        <f t="shared" si="5"/>
        <v/>
      </c>
      <c r="W42" s="479" t="s">
        <v>586</v>
      </c>
      <c r="X42" s="470">
        <f t="shared" si="6"/>
        <v>0</v>
      </c>
      <c r="Z42" s="471" t="str">
        <f>IF(OR(D42="",AND(D42&lt;F42,N42&lt;=D42,D42&lt;=P42,N42&lt;=F42,F42&lt;=P42),J42="宿直"),"",IF(D42&lt;F42,IF(AND(D42&lt;P42,P42&lt;F42),P42,D42),IF(D42&lt;P42,P42,D42)))</f>
        <v/>
      </c>
      <c r="AA42" s="477" t="s">
        <v>571</v>
      </c>
      <c r="AB42" s="471" t="str">
        <f>IF(Z42="","",IF(D42&lt;F42,IF(P42&lt;F42,F42,IF(F42&lt;N42,F42,N42)),IF(F42&lt;N42,F42,N42)))</f>
        <v/>
      </c>
      <c r="AC42" s="478" t="s">
        <v>585</v>
      </c>
      <c r="AD42" s="473"/>
      <c r="AE42" s="479" t="s">
        <v>586</v>
      </c>
      <c r="AF42" s="470">
        <f>IF(Z42="",0,(IF(Z42&gt;AB42,1,0)-Z42+AB42-AD42)*24)</f>
        <v>0</v>
      </c>
      <c r="AH42" s="471" t="str">
        <f>IF(OR(AND(D42&lt;F42,D42&lt;N42),AND(D42&gt;F42,F42&gt;N42)),N42,"")</f>
        <v/>
      </c>
      <c r="AI42" s="477" t="s">
        <v>571</v>
      </c>
      <c r="AJ42" s="471" t="str">
        <f>IF(AH42="","",F42)</f>
        <v/>
      </c>
      <c r="AK42" s="478" t="s">
        <v>585</v>
      </c>
      <c r="AL42" s="473"/>
      <c r="AM42" s="479" t="s">
        <v>586</v>
      </c>
      <c r="AN42" s="470">
        <f>IF(AH42="",0,(IF(AH42&gt;AJ42,1,0)-AH42+AJ42-AL42)*24)</f>
        <v>0</v>
      </c>
      <c r="AP42" s="470">
        <f>X42+AN42</f>
        <v>0</v>
      </c>
      <c r="AQ42" s="470">
        <f>IF(X42&lt;6,X42,IF(X42&lt;8,X42+0.75,X42+1))+IF(AN42&lt;6,AN42,IF(AN42&lt;8,AN42+0.75,AN42+1))</f>
        <v>0</v>
      </c>
    </row>
    <row r="43" spans="2:43" s="480" customFormat="1" ht="16.5" customHeight="1">
      <c r="B43" s="465"/>
      <c r="C43" s="476" t="s">
        <v>584</v>
      </c>
      <c r="D43" s="467"/>
      <c r="E43" s="477" t="s">
        <v>571</v>
      </c>
      <c r="F43" s="467"/>
      <c r="G43" s="478" t="s">
        <v>585</v>
      </c>
      <c r="H43" s="467"/>
      <c r="I43" s="479" t="s">
        <v>586</v>
      </c>
      <c r="J43" s="465"/>
      <c r="L43" s="470">
        <f t="shared" si="14"/>
        <v>0</v>
      </c>
      <c r="N43" s="471" t="str">
        <f t="shared" si="1"/>
        <v/>
      </c>
      <c r="O43" s="477" t="s">
        <v>571</v>
      </c>
      <c r="P43" s="471" t="str">
        <f t="shared" si="2"/>
        <v/>
      </c>
      <c r="R43" s="471" t="str">
        <f t="shared" si="3"/>
        <v/>
      </c>
      <c r="S43" s="477" t="s">
        <v>571</v>
      </c>
      <c r="T43" s="471" t="str">
        <f t="shared" si="4"/>
        <v/>
      </c>
      <c r="U43" s="478" t="s">
        <v>585</v>
      </c>
      <c r="V43" s="472" t="str">
        <f t="shared" si="5"/>
        <v/>
      </c>
      <c r="W43" s="479" t="s">
        <v>586</v>
      </c>
      <c r="X43" s="470">
        <f t="shared" si="6"/>
        <v>0</v>
      </c>
      <c r="Z43" s="471" t="str">
        <f t="shared" si="7"/>
        <v/>
      </c>
      <c r="AA43" s="477" t="s">
        <v>571</v>
      </c>
      <c r="AB43" s="471" t="str">
        <f t="shared" si="8"/>
        <v/>
      </c>
      <c r="AC43" s="478" t="s">
        <v>585</v>
      </c>
      <c r="AD43" s="473"/>
      <c r="AE43" s="479" t="s">
        <v>586</v>
      </c>
      <c r="AF43" s="470">
        <f t="shared" si="9"/>
        <v>0</v>
      </c>
      <c r="AH43" s="471" t="str">
        <f t="shared" si="10"/>
        <v/>
      </c>
      <c r="AI43" s="477" t="s">
        <v>571</v>
      </c>
      <c r="AJ43" s="471" t="str">
        <f t="shared" si="0"/>
        <v/>
      </c>
      <c r="AK43" s="478" t="s">
        <v>585</v>
      </c>
      <c r="AL43" s="473"/>
      <c r="AM43" s="479" t="s">
        <v>586</v>
      </c>
      <c r="AN43" s="470">
        <f t="shared" si="11"/>
        <v>0</v>
      </c>
      <c r="AP43" s="470">
        <f t="shared" si="12"/>
        <v>0</v>
      </c>
      <c r="AQ43" s="470">
        <f t="shared" si="13"/>
        <v>0</v>
      </c>
    </row>
    <row r="44" spans="2:43" s="480" customFormat="1" ht="16.5" customHeight="1">
      <c r="B44" s="465"/>
      <c r="C44" s="476" t="s">
        <v>584</v>
      </c>
      <c r="D44" s="467"/>
      <c r="E44" s="477" t="s">
        <v>571</v>
      </c>
      <c r="F44" s="467"/>
      <c r="G44" s="478" t="s">
        <v>585</v>
      </c>
      <c r="H44" s="467"/>
      <c r="I44" s="479" t="s">
        <v>586</v>
      </c>
      <c r="J44" s="465"/>
      <c r="L44" s="470">
        <f t="shared" si="14"/>
        <v>0</v>
      </c>
      <c r="N44" s="471" t="str">
        <f t="shared" si="1"/>
        <v/>
      </c>
      <c r="O44" s="477" t="s">
        <v>571</v>
      </c>
      <c r="P44" s="471" t="str">
        <f t="shared" si="2"/>
        <v/>
      </c>
      <c r="R44" s="471" t="str">
        <f t="shared" si="3"/>
        <v/>
      </c>
      <c r="S44" s="477" t="s">
        <v>571</v>
      </c>
      <c r="T44" s="471" t="str">
        <f t="shared" si="4"/>
        <v/>
      </c>
      <c r="U44" s="478" t="s">
        <v>585</v>
      </c>
      <c r="V44" s="472" t="str">
        <f t="shared" si="5"/>
        <v/>
      </c>
      <c r="W44" s="479" t="s">
        <v>586</v>
      </c>
      <c r="X44" s="470">
        <f t="shared" si="6"/>
        <v>0</v>
      </c>
      <c r="Z44" s="471" t="str">
        <f t="shared" si="7"/>
        <v/>
      </c>
      <c r="AA44" s="477" t="s">
        <v>571</v>
      </c>
      <c r="AB44" s="471" t="str">
        <f t="shared" si="8"/>
        <v/>
      </c>
      <c r="AC44" s="478" t="s">
        <v>585</v>
      </c>
      <c r="AD44" s="473"/>
      <c r="AE44" s="479" t="s">
        <v>586</v>
      </c>
      <c r="AF44" s="470">
        <f t="shared" si="9"/>
        <v>0</v>
      </c>
      <c r="AH44" s="471" t="str">
        <f t="shared" si="10"/>
        <v/>
      </c>
      <c r="AI44" s="477" t="s">
        <v>571</v>
      </c>
      <c r="AJ44" s="471" t="str">
        <f t="shared" si="0"/>
        <v/>
      </c>
      <c r="AK44" s="478" t="s">
        <v>585</v>
      </c>
      <c r="AL44" s="473"/>
      <c r="AM44" s="479" t="s">
        <v>586</v>
      </c>
      <c r="AN44" s="470">
        <f t="shared" si="11"/>
        <v>0</v>
      </c>
      <c r="AP44" s="470">
        <f t="shared" si="12"/>
        <v>0</v>
      </c>
      <c r="AQ44" s="470">
        <f t="shared" si="13"/>
        <v>0</v>
      </c>
    </row>
    <row r="45" spans="2:43" s="480" customFormat="1" ht="16.5" customHeight="1">
      <c r="B45" s="465"/>
      <c r="C45" s="476" t="s">
        <v>584</v>
      </c>
      <c r="D45" s="467"/>
      <c r="E45" s="477" t="s">
        <v>571</v>
      </c>
      <c r="F45" s="467"/>
      <c r="G45" s="478" t="s">
        <v>585</v>
      </c>
      <c r="H45" s="467"/>
      <c r="I45" s="479" t="s">
        <v>586</v>
      </c>
      <c r="J45" s="465"/>
      <c r="L45" s="470">
        <f t="shared" si="14"/>
        <v>0</v>
      </c>
      <c r="N45" s="471" t="str">
        <f t="shared" si="1"/>
        <v/>
      </c>
      <c r="O45" s="477" t="s">
        <v>571</v>
      </c>
      <c r="P45" s="471" t="str">
        <f t="shared" si="2"/>
        <v/>
      </c>
      <c r="R45" s="471" t="str">
        <f t="shared" si="3"/>
        <v/>
      </c>
      <c r="S45" s="477" t="s">
        <v>571</v>
      </c>
      <c r="T45" s="471" t="str">
        <f t="shared" si="4"/>
        <v/>
      </c>
      <c r="U45" s="478" t="s">
        <v>585</v>
      </c>
      <c r="V45" s="472" t="str">
        <f t="shared" si="5"/>
        <v/>
      </c>
      <c r="W45" s="479" t="s">
        <v>586</v>
      </c>
      <c r="X45" s="470">
        <f t="shared" si="6"/>
        <v>0</v>
      </c>
      <c r="Z45" s="471" t="str">
        <f t="shared" si="7"/>
        <v/>
      </c>
      <c r="AA45" s="477" t="s">
        <v>571</v>
      </c>
      <c r="AB45" s="471" t="str">
        <f t="shared" si="8"/>
        <v/>
      </c>
      <c r="AC45" s="478" t="s">
        <v>585</v>
      </c>
      <c r="AD45" s="473"/>
      <c r="AE45" s="479" t="s">
        <v>586</v>
      </c>
      <c r="AF45" s="470">
        <f t="shared" si="9"/>
        <v>0</v>
      </c>
      <c r="AH45" s="471" t="str">
        <f t="shared" si="10"/>
        <v/>
      </c>
      <c r="AI45" s="477" t="s">
        <v>571</v>
      </c>
      <c r="AJ45" s="471" t="str">
        <f t="shared" si="0"/>
        <v/>
      </c>
      <c r="AK45" s="478" t="s">
        <v>585</v>
      </c>
      <c r="AL45" s="473"/>
      <c r="AM45" s="479" t="s">
        <v>586</v>
      </c>
      <c r="AN45" s="470">
        <f t="shared" si="11"/>
        <v>0</v>
      </c>
      <c r="AP45" s="470">
        <f t="shared" si="12"/>
        <v>0</v>
      </c>
      <c r="AQ45" s="470">
        <f t="shared" si="13"/>
        <v>0</v>
      </c>
    </row>
    <row r="46" spans="2:43" s="480" customFormat="1" ht="16.5" customHeight="1">
      <c r="B46" s="465"/>
      <c r="C46" s="476" t="s">
        <v>584</v>
      </c>
      <c r="D46" s="467"/>
      <c r="E46" s="477" t="s">
        <v>571</v>
      </c>
      <c r="F46" s="467"/>
      <c r="G46" s="478" t="s">
        <v>585</v>
      </c>
      <c r="H46" s="467"/>
      <c r="I46" s="479" t="s">
        <v>586</v>
      </c>
      <c r="J46" s="465"/>
      <c r="L46" s="470">
        <f t="shared" si="14"/>
        <v>0</v>
      </c>
      <c r="N46" s="471" t="str">
        <f t="shared" si="1"/>
        <v/>
      </c>
      <c r="O46" s="477" t="s">
        <v>571</v>
      </c>
      <c r="P46" s="471" t="str">
        <f t="shared" si="2"/>
        <v/>
      </c>
      <c r="R46" s="471" t="str">
        <f t="shared" si="3"/>
        <v/>
      </c>
      <c r="S46" s="477" t="s">
        <v>571</v>
      </c>
      <c r="T46" s="471" t="str">
        <f t="shared" si="4"/>
        <v/>
      </c>
      <c r="U46" s="478" t="s">
        <v>585</v>
      </c>
      <c r="V46" s="472" t="str">
        <f t="shared" si="5"/>
        <v/>
      </c>
      <c r="W46" s="479" t="s">
        <v>586</v>
      </c>
      <c r="X46" s="470">
        <f t="shared" si="6"/>
        <v>0</v>
      </c>
      <c r="Z46" s="471" t="str">
        <f t="shared" si="7"/>
        <v/>
      </c>
      <c r="AA46" s="477" t="s">
        <v>571</v>
      </c>
      <c r="AB46" s="471" t="str">
        <f t="shared" si="8"/>
        <v/>
      </c>
      <c r="AC46" s="478" t="s">
        <v>585</v>
      </c>
      <c r="AD46" s="473"/>
      <c r="AE46" s="479" t="s">
        <v>586</v>
      </c>
      <c r="AF46" s="470">
        <f t="shared" si="9"/>
        <v>0</v>
      </c>
      <c r="AH46" s="471" t="str">
        <f t="shared" si="10"/>
        <v/>
      </c>
      <c r="AI46" s="477" t="s">
        <v>571</v>
      </c>
      <c r="AJ46" s="471" t="str">
        <f t="shared" si="0"/>
        <v/>
      </c>
      <c r="AK46" s="478" t="s">
        <v>585</v>
      </c>
      <c r="AL46" s="473"/>
      <c r="AM46" s="479" t="s">
        <v>586</v>
      </c>
      <c r="AN46" s="470">
        <f t="shared" si="11"/>
        <v>0</v>
      </c>
      <c r="AP46" s="470">
        <f t="shared" si="12"/>
        <v>0</v>
      </c>
      <c r="AQ46" s="470">
        <f t="shared" si="13"/>
        <v>0</v>
      </c>
    </row>
    <row r="47" spans="2:43" s="480" customFormat="1" ht="16.5" customHeight="1">
      <c r="B47" s="465"/>
      <c r="C47" s="476" t="s">
        <v>584</v>
      </c>
      <c r="D47" s="467"/>
      <c r="E47" s="477" t="s">
        <v>571</v>
      </c>
      <c r="F47" s="467"/>
      <c r="G47" s="478" t="s">
        <v>585</v>
      </c>
      <c r="H47" s="467"/>
      <c r="I47" s="479" t="s">
        <v>586</v>
      </c>
      <c r="J47" s="465"/>
      <c r="L47" s="470">
        <f t="shared" si="14"/>
        <v>0</v>
      </c>
      <c r="N47" s="471" t="str">
        <f t="shared" si="1"/>
        <v/>
      </c>
      <c r="O47" s="477" t="s">
        <v>571</v>
      </c>
      <c r="P47" s="471" t="str">
        <f t="shared" si="2"/>
        <v/>
      </c>
      <c r="R47" s="471" t="str">
        <f t="shared" si="3"/>
        <v/>
      </c>
      <c r="S47" s="477" t="s">
        <v>571</v>
      </c>
      <c r="T47" s="471" t="str">
        <f t="shared" si="4"/>
        <v/>
      </c>
      <c r="U47" s="478" t="s">
        <v>585</v>
      </c>
      <c r="V47" s="472" t="str">
        <f t="shared" si="5"/>
        <v/>
      </c>
      <c r="W47" s="479" t="s">
        <v>586</v>
      </c>
      <c r="X47" s="470">
        <f t="shared" si="6"/>
        <v>0</v>
      </c>
      <c r="Z47" s="471" t="str">
        <f t="shared" si="7"/>
        <v/>
      </c>
      <c r="AA47" s="477" t="s">
        <v>571</v>
      </c>
      <c r="AB47" s="471" t="str">
        <f t="shared" si="8"/>
        <v/>
      </c>
      <c r="AC47" s="478" t="s">
        <v>585</v>
      </c>
      <c r="AD47" s="473"/>
      <c r="AE47" s="479" t="s">
        <v>586</v>
      </c>
      <c r="AF47" s="470">
        <f t="shared" si="9"/>
        <v>0</v>
      </c>
      <c r="AH47" s="471" t="str">
        <f t="shared" si="10"/>
        <v/>
      </c>
      <c r="AI47" s="477" t="s">
        <v>571</v>
      </c>
      <c r="AJ47" s="471" t="str">
        <f t="shared" si="0"/>
        <v/>
      </c>
      <c r="AK47" s="478" t="s">
        <v>585</v>
      </c>
      <c r="AL47" s="473"/>
      <c r="AM47" s="479" t="s">
        <v>586</v>
      </c>
      <c r="AN47" s="470">
        <f t="shared" si="11"/>
        <v>0</v>
      </c>
      <c r="AP47" s="470">
        <f t="shared" si="12"/>
        <v>0</v>
      </c>
      <c r="AQ47" s="470">
        <f t="shared" si="13"/>
        <v>0</v>
      </c>
    </row>
    <row r="48" spans="2:43" s="480" customFormat="1" ht="16.5" customHeight="1">
      <c r="B48" s="465"/>
      <c r="C48" s="476" t="s">
        <v>584</v>
      </c>
      <c r="D48" s="467"/>
      <c r="E48" s="477" t="s">
        <v>571</v>
      </c>
      <c r="F48" s="467"/>
      <c r="G48" s="478" t="s">
        <v>585</v>
      </c>
      <c r="H48" s="467"/>
      <c r="I48" s="479" t="s">
        <v>586</v>
      </c>
      <c r="J48" s="465"/>
      <c r="L48" s="470">
        <f t="shared" si="14"/>
        <v>0</v>
      </c>
      <c r="N48" s="471" t="str">
        <f t="shared" si="1"/>
        <v/>
      </c>
      <c r="O48" s="477" t="s">
        <v>571</v>
      </c>
      <c r="P48" s="471" t="str">
        <f t="shared" si="2"/>
        <v/>
      </c>
      <c r="R48" s="471" t="str">
        <f t="shared" si="3"/>
        <v/>
      </c>
      <c r="S48" s="477" t="s">
        <v>571</v>
      </c>
      <c r="T48" s="471" t="str">
        <f t="shared" si="4"/>
        <v/>
      </c>
      <c r="U48" s="478" t="s">
        <v>585</v>
      </c>
      <c r="V48" s="472" t="str">
        <f t="shared" si="5"/>
        <v/>
      </c>
      <c r="W48" s="479" t="s">
        <v>586</v>
      </c>
      <c r="X48" s="470">
        <f t="shared" si="6"/>
        <v>0</v>
      </c>
      <c r="Z48" s="471" t="str">
        <f t="shared" si="7"/>
        <v/>
      </c>
      <c r="AA48" s="477" t="s">
        <v>571</v>
      </c>
      <c r="AB48" s="471" t="str">
        <f t="shared" si="8"/>
        <v/>
      </c>
      <c r="AC48" s="478" t="s">
        <v>585</v>
      </c>
      <c r="AD48" s="473"/>
      <c r="AE48" s="479" t="s">
        <v>586</v>
      </c>
      <c r="AF48" s="470">
        <f t="shared" si="9"/>
        <v>0</v>
      </c>
      <c r="AH48" s="471" t="str">
        <f t="shared" si="10"/>
        <v/>
      </c>
      <c r="AI48" s="477" t="s">
        <v>571</v>
      </c>
      <c r="AJ48" s="471" t="str">
        <f t="shared" si="0"/>
        <v/>
      </c>
      <c r="AK48" s="478" t="s">
        <v>585</v>
      </c>
      <c r="AL48" s="473"/>
      <c r="AM48" s="479" t="s">
        <v>586</v>
      </c>
      <c r="AN48" s="470">
        <f t="shared" si="11"/>
        <v>0</v>
      </c>
      <c r="AP48" s="470">
        <f t="shared" si="12"/>
        <v>0</v>
      </c>
      <c r="AQ48" s="470">
        <f t="shared" si="13"/>
        <v>0</v>
      </c>
    </row>
    <row r="49" spans="2:43" s="480" customFormat="1" ht="16.5" customHeight="1">
      <c r="B49" s="465"/>
      <c r="C49" s="476" t="s">
        <v>584</v>
      </c>
      <c r="D49" s="467"/>
      <c r="E49" s="477" t="s">
        <v>571</v>
      </c>
      <c r="F49" s="467"/>
      <c r="G49" s="478" t="s">
        <v>585</v>
      </c>
      <c r="H49" s="467"/>
      <c r="I49" s="479" t="s">
        <v>586</v>
      </c>
      <c r="J49" s="465"/>
      <c r="L49" s="470">
        <f t="shared" si="14"/>
        <v>0</v>
      </c>
      <c r="N49" s="471" t="str">
        <f t="shared" si="1"/>
        <v/>
      </c>
      <c r="O49" s="477" t="s">
        <v>571</v>
      </c>
      <c r="P49" s="471" t="str">
        <f t="shared" si="2"/>
        <v/>
      </c>
      <c r="R49" s="471" t="str">
        <f t="shared" si="3"/>
        <v/>
      </c>
      <c r="S49" s="477" t="s">
        <v>571</v>
      </c>
      <c r="T49" s="471" t="str">
        <f t="shared" si="4"/>
        <v/>
      </c>
      <c r="U49" s="478" t="s">
        <v>585</v>
      </c>
      <c r="V49" s="472" t="str">
        <f t="shared" si="5"/>
        <v/>
      </c>
      <c r="W49" s="479" t="s">
        <v>586</v>
      </c>
      <c r="X49" s="470">
        <f t="shared" si="6"/>
        <v>0</v>
      </c>
      <c r="Z49" s="471" t="str">
        <f t="shared" si="7"/>
        <v/>
      </c>
      <c r="AA49" s="477" t="s">
        <v>571</v>
      </c>
      <c r="AB49" s="471" t="str">
        <f t="shared" si="8"/>
        <v/>
      </c>
      <c r="AC49" s="478" t="s">
        <v>585</v>
      </c>
      <c r="AD49" s="473"/>
      <c r="AE49" s="479" t="s">
        <v>586</v>
      </c>
      <c r="AF49" s="470">
        <f t="shared" si="9"/>
        <v>0</v>
      </c>
      <c r="AH49" s="471" t="str">
        <f t="shared" si="10"/>
        <v/>
      </c>
      <c r="AI49" s="477" t="s">
        <v>571</v>
      </c>
      <c r="AJ49" s="471" t="str">
        <f t="shared" si="0"/>
        <v/>
      </c>
      <c r="AK49" s="478" t="s">
        <v>585</v>
      </c>
      <c r="AL49" s="473"/>
      <c r="AM49" s="479" t="s">
        <v>586</v>
      </c>
      <c r="AN49" s="470">
        <f t="shared" si="11"/>
        <v>0</v>
      </c>
      <c r="AP49" s="470">
        <f t="shared" si="12"/>
        <v>0</v>
      </c>
      <c r="AQ49" s="470">
        <f t="shared" si="13"/>
        <v>0</v>
      </c>
    </row>
    <row r="50" spans="2:43" s="480" customFormat="1" ht="16.5" customHeight="1">
      <c r="B50" s="465"/>
      <c r="C50" s="476" t="s">
        <v>584</v>
      </c>
      <c r="D50" s="467"/>
      <c r="E50" s="477" t="s">
        <v>571</v>
      </c>
      <c r="F50" s="467"/>
      <c r="G50" s="478" t="s">
        <v>585</v>
      </c>
      <c r="H50" s="467"/>
      <c r="I50" s="479" t="s">
        <v>586</v>
      </c>
      <c r="J50" s="465"/>
      <c r="L50" s="470">
        <f t="shared" si="14"/>
        <v>0</v>
      </c>
      <c r="N50" s="471" t="str">
        <f t="shared" si="1"/>
        <v/>
      </c>
      <c r="O50" s="477" t="s">
        <v>571</v>
      </c>
      <c r="P50" s="471" t="str">
        <f t="shared" si="2"/>
        <v/>
      </c>
      <c r="R50" s="471" t="str">
        <f t="shared" si="3"/>
        <v/>
      </c>
      <c r="S50" s="477" t="s">
        <v>571</v>
      </c>
      <c r="T50" s="471" t="str">
        <f t="shared" si="4"/>
        <v/>
      </c>
      <c r="U50" s="478" t="s">
        <v>585</v>
      </c>
      <c r="V50" s="472" t="str">
        <f t="shared" si="5"/>
        <v/>
      </c>
      <c r="W50" s="479" t="s">
        <v>586</v>
      </c>
      <c r="X50" s="470">
        <f t="shared" si="6"/>
        <v>0</v>
      </c>
      <c r="Z50" s="471" t="str">
        <f t="shared" si="7"/>
        <v/>
      </c>
      <c r="AA50" s="477" t="s">
        <v>571</v>
      </c>
      <c r="AB50" s="471" t="str">
        <f t="shared" si="8"/>
        <v/>
      </c>
      <c r="AC50" s="478" t="s">
        <v>585</v>
      </c>
      <c r="AD50" s="473"/>
      <c r="AE50" s="479" t="s">
        <v>586</v>
      </c>
      <c r="AF50" s="470">
        <f t="shared" si="9"/>
        <v>0</v>
      </c>
      <c r="AH50" s="471" t="str">
        <f t="shared" si="10"/>
        <v/>
      </c>
      <c r="AI50" s="477" t="s">
        <v>571</v>
      </c>
      <c r="AJ50" s="471" t="str">
        <f t="shared" si="0"/>
        <v/>
      </c>
      <c r="AK50" s="478" t="s">
        <v>585</v>
      </c>
      <c r="AL50" s="473"/>
      <c r="AM50" s="479" t="s">
        <v>586</v>
      </c>
      <c r="AN50" s="470">
        <f t="shared" si="11"/>
        <v>0</v>
      </c>
      <c r="AP50" s="470">
        <f t="shared" si="12"/>
        <v>0</v>
      </c>
      <c r="AQ50" s="470">
        <f t="shared" si="13"/>
        <v>0</v>
      </c>
    </row>
    <row r="51" spans="2:43" s="480" customFormat="1" ht="16.5" customHeight="1">
      <c r="B51" s="465"/>
      <c r="C51" s="476" t="s">
        <v>584</v>
      </c>
      <c r="D51" s="481"/>
      <c r="E51" s="477" t="s">
        <v>571</v>
      </c>
      <c r="F51" s="481"/>
      <c r="G51" s="478" t="s">
        <v>585</v>
      </c>
      <c r="H51" s="481"/>
      <c r="I51" s="479" t="s">
        <v>586</v>
      </c>
      <c r="J51" s="465"/>
      <c r="L51" s="470">
        <f t="shared" si="14"/>
        <v>0</v>
      </c>
      <c r="N51" s="471" t="str">
        <f t="shared" si="1"/>
        <v/>
      </c>
      <c r="O51" s="477" t="s">
        <v>571</v>
      </c>
      <c r="P51" s="471" t="str">
        <f t="shared" si="2"/>
        <v/>
      </c>
      <c r="R51" s="471" t="str">
        <f t="shared" si="3"/>
        <v/>
      </c>
      <c r="S51" s="477" t="s">
        <v>571</v>
      </c>
      <c r="T51" s="471" t="str">
        <f t="shared" si="4"/>
        <v/>
      </c>
      <c r="U51" s="478" t="s">
        <v>585</v>
      </c>
      <c r="V51" s="472" t="str">
        <f t="shared" si="5"/>
        <v/>
      </c>
      <c r="W51" s="479" t="s">
        <v>586</v>
      </c>
      <c r="X51" s="470">
        <f t="shared" si="6"/>
        <v>0</v>
      </c>
      <c r="Z51" s="471" t="str">
        <f t="shared" si="7"/>
        <v/>
      </c>
      <c r="AA51" s="477" t="s">
        <v>571</v>
      </c>
      <c r="AB51" s="471" t="str">
        <f t="shared" si="8"/>
        <v/>
      </c>
      <c r="AC51" s="478" t="s">
        <v>585</v>
      </c>
      <c r="AD51" s="482"/>
      <c r="AE51" s="479" t="s">
        <v>586</v>
      </c>
      <c r="AF51" s="470">
        <f t="shared" si="9"/>
        <v>0</v>
      </c>
      <c r="AH51" s="471" t="str">
        <f t="shared" si="10"/>
        <v/>
      </c>
      <c r="AI51" s="477" t="s">
        <v>571</v>
      </c>
      <c r="AJ51" s="471" t="str">
        <f t="shared" si="0"/>
        <v/>
      </c>
      <c r="AK51" s="478" t="s">
        <v>585</v>
      </c>
      <c r="AL51" s="473"/>
      <c r="AM51" s="479" t="s">
        <v>586</v>
      </c>
      <c r="AN51" s="470">
        <f t="shared" si="11"/>
        <v>0</v>
      </c>
      <c r="AP51" s="470">
        <f t="shared" si="12"/>
        <v>0</v>
      </c>
      <c r="AQ51" s="470">
        <f t="shared" si="13"/>
        <v>0</v>
      </c>
    </row>
    <row r="52" spans="2:43" s="480" customFormat="1" ht="16.5" customHeight="1">
      <c r="B52" s="465"/>
      <c r="C52" s="476" t="s">
        <v>584</v>
      </c>
      <c r="D52" s="467"/>
      <c r="E52" s="477" t="s">
        <v>571</v>
      </c>
      <c r="F52" s="467"/>
      <c r="G52" s="478" t="s">
        <v>585</v>
      </c>
      <c r="H52" s="467"/>
      <c r="I52" s="479" t="s">
        <v>586</v>
      </c>
      <c r="J52" s="465"/>
      <c r="L52" s="470">
        <f t="shared" si="14"/>
        <v>0</v>
      </c>
      <c r="N52" s="471" t="str">
        <f t="shared" si="1"/>
        <v/>
      </c>
      <c r="O52" s="477" t="s">
        <v>571</v>
      </c>
      <c r="P52" s="471" t="str">
        <f t="shared" si="2"/>
        <v/>
      </c>
      <c r="R52" s="471" t="str">
        <f t="shared" si="3"/>
        <v/>
      </c>
      <c r="S52" s="477" t="s">
        <v>571</v>
      </c>
      <c r="T52" s="471" t="str">
        <f t="shared" si="4"/>
        <v/>
      </c>
      <c r="U52" s="478" t="s">
        <v>585</v>
      </c>
      <c r="V52" s="472" t="str">
        <f t="shared" si="5"/>
        <v/>
      </c>
      <c r="W52" s="479" t="s">
        <v>586</v>
      </c>
      <c r="X52" s="470">
        <f t="shared" si="6"/>
        <v>0</v>
      </c>
      <c r="Z52" s="471" t="str">
        <f t="shared" si="7"/>
        <v/>
      </c>
      <c r="AA52" s="477" t="s">
        <v>571</v>
      </c>
      <c r="AB52" s="471" t="str">
        <f t="shared" si="8"/>
        <v/>
      </c>
      <c r="AC52" s="478" t="s">
        <v>585</v>
      </c>
      <c r="AD52" s="473"/>
      <c r="AE52" s="479" t="s">
        <v>586</v>
      </c>
      <c r="AF52" s="470">
        <f t="shared" si="9"/>
        <v>0</v>
      </c>
      <c r="AH52" s="471" t="str">
        <f t="shared" si="10"/>
        <v/>
      </c>
      <c r="AI52" s="477" t="s">
        <v>571</v>
      </c>
      <c r="AJ52" s="471" t="str">
        <f t="shared" si="0"/>
        <v/>
      </c>
      <c r="AK52" s="478" t="s">
        <v>585</v>
      </c>
      <c r="AL52" s="473"/>
      <c r="AM52" s="479" t="s">
        <v>586</v>
      </c>
      <c r="AN52" s="470">
        <f t="shared" si="11"/>
        <v>0</v>
      </c>
      <c r="AP52" s="470">
        <f t="shared" si="12"/>
        <v>0</v>
      </c>
      <c r="AQ52" s="470">
        <f t="shared" si="13"/>
        <v>0</v>
      </c>
    </row>
    <row r="53" spans="2:43" s="480" customFormat="1" ht="16.5" customHeight="1">
      <c r="B53" s="465"/>
      <c r="C53" s="476" t="s">
        <v>584</v>
      </c>
      <c r="D53" s="467"/>
      <c r="E53" s="477" t="s">
        <v>571</v>
      </c>
      <c r="F53" s="467"/>
      <c r="G53" s="478" t="s">
        <v>585</v>
      </c>
      <c r="H53" s="467"/>
      <c r="I53" s="479" t="s">
        <v>586</v>
      </c>
      <c r="J53" s="465"/>
      <c r="L53" s="470">
        <f t="shared" si="14"/>
        <v>0</v>
      </c>
      <c r="N53" s="471" t="str">
        <f t="shared" si="1"/>
        <v/>
      </c>
      <c r="O53" s="477" t="s">
        <v>571</v>
      </c>
      <c r="P53" s="471" t="str">
        <f t="shared" si="2"/>
        <v/>
      </c>
      <c r="R53" s="471" t="str">
        <f t="shared" si="3"/>
        <v/>
      </c>
      <c r="S53" s="477" t="s">
        <v>571</v>
      </c>
      <c r="T53" s="471" t="str">
        <f t="shared" si="4"/>
        <v/>
      </c>
      <c r="U53" s="478" t="s">
        <v>585</v>
      </c>
      <c r="V53" s="472" t="str">
        <f t="shared" si="5"/>
        <v/>
      </c>
      <c r="W53" s="479" t="s">
        <v>586</v>
      </c>
      <c r="X53" s="470">
        <f t="shared" si="6"/>
        <v>0</v>
      </c>
      <c r="Z53" s="471" t="str">
        <f t="shared" si="7"/>
        <v/>
      </c>
      <c r="AA53" s="477" t="s">
        <v>571</v>
      </c>
      <c r="AB53" s="471" t="str">
        <f t="shared" si="8"/>
        <v/>
      </c>
      <c r="AC53" s="478" t="s">
        <v>585</v>
      </c>
      <c r="AD53" s="473"/>
      <c r="AE53" s="479" t="s">
        <v>586</v>
      </c>
      <c r="AF53" s="470">
        <f t="shared" si="9"/>
        <v>0</v>
      </c>
      <c r="AH53" s="471" t="str">
        <f t="shared" si="10"/>
        <v/>
      </c>
      <c r="AI53" s="477" t="s">
        <v>571</v>
      </c>
      <c r="AJ53" s="471" t="str">
        <f t="shared" si="0"/>
        <v/>
      </c>
      <c r="AK53" s="478" t="s">
        <v>585</v>
      </c>
      <c r="AL53" s="473"/>
      <c r="AM53" s="479" t="s">
        <v>586</v>
      </c>
      <c r="AN53" s="470">
        <f t="shared" si="11"/>
        <v>0</v>
      </c>
      <c r="AP53" s="470">
        <f t="shared" si="12"/>
        <v>0</v>
      </c>
      <c r="AQ53" s="470">
        <f t="shared" si="13"/>
        <v>0</v>
      </c>
    </row>
    <row r="54" spans="2:43" s="480" customFormat="1" ht="16.5" customHeight="1">
      <c r="B54" s="465"/>
      <c r="C54" s="476" t="s">
        <v>584</v>
      </c>
      <c r="D54" s="481"/>
      <c r="E54" s="477" t="s">
        <v>571</v>
      </c>
      <c r="F54" s="481"/>
      <c r="G54" s="478" t="s">
        <v>585</v>
      </c>
      <c r="H54" s="481"/>
      <c r="I54" s="479" t="s">
        <v>586</v>
      </c>
      <c r="J54" s="465"/>
      <c r="L54" s="470">
        <f t="shared" si="14"/>
        <v>0</v>
      </c>
      <c r="N54" s="471" t="str">
        <f t="shared" si="1"/>
        <v/>
      </c>
      <c r="O54" s="477" t="s">
        <v>571</v>
      </c>
      <c r="P54" s="471" t="str">
        <f t="shared" si="2"/>
        <v/>
      </c>
      <c r="R54" s="471" t="str">
        <f t="shared" si="3"/>
        <v/>
      </c>
      <c r="S54" s="477" t="s">
        <v>571</v>
      </c>
      <c r="T54" s="471" t="str">
        <f t="shared" si="4"/>
        <v/>
      </c>
      <c r="U54" s="478" t="s">
        <v>585</v>
      </c>
      <c r="V54" s="472" t="str">
        <f t="shared" si="5"/>
        <v/>
      </c>
      <c r="W54" s="479" t="s">
        <v>586</v>
      </c>
      <c r="X54" s="470">
        <f t="shared" si="6"/>
        <v>0</v>
      </c>
      <c r="Z54" s="471" t="str">
        <f t="shared" si="7"/>
        <v/>
      </c>
      <c r="AA54" s="477" t="s">
        <v>571</v>
      </c>
      <c r="AB54" s="471" t="str">
        <f t="shared" si="8"/>
        <v/>
      </c>
      <c r="AC54" s="478" t="s">
        <v>585</v>
      </c>
      <c r="AD54" s="482"/>
      <c r="AE54" s="479" t="s">
        <v>586</v>
      </c>
      <c r="AF54" s="470">
        <f t="shared" si="9"/>
        <v>0</v>
      </c>
      <c r="AH54" s="471" t="str">
        <f t="shared" si="10"/>
        <v/>
      </c>
      <c r="AI54" s="477" t="s">
        <v>571</v>
      </c>
      <c r="AJ54" s="471" t="str">
        <f t="shared" si="0"/>
        <v/>
      </c>
      <c r="AK54" s="478" t="s">
        <v>585</v>
      </c>
      <c r="AL54" s="473"/>
      <c r="AM54" s="479" t="s">
        <v>586</v>
      </c>
      <c r="AN54" s="470">
        <f t="shared" si="11"/>
        <v>0</v>
      </c>
      <c r="AP54" s="470">
        <f t="shared" si="12"/>
        <v>0</v>
      </c>
      <c r="AQ54" s="470">
        <f t="shared" si="13"/>
        <v>0</v>
      </c>
    </row>
    <row r="55" spans="2:43" ht="16.5" customHeight="1">
      <c r="B55" s="483" t="s">
        <v>587</v>
      </c>
      <c r="C55" s="466" t="s">
        <v>584</v>
      </c>
      <c r="D55" s="484"/>
      <c r="E55" s="485"/>
      <c r="F55" s="485"/>
      <c r="G55" s="485"/>
      <c r="H55" s="485"/>
      <c r="I55" s="485"/>
      <c r="J55" s="485"/>
      <c r="K55" s="485"/>
      <c r="L55" s="486" t="s">
        <v>588</v>
      </c>
      <c r="N55" s="484"/>
      <c r="O55" s="485"/>
      <c r="P55" s="487"/>
      <c r="R55" s="488"/>
      <c r="S55" s="489"/>
      <c r="T55" s="489"/>
      <c r="U55" s="489"/>
      <c r="V55" s="489"/>
      <c r="W55" s="489"/>
      <c r="X55" s="486" t="s">
        <v>588</v>
      </c>
      <c r="Z55" s="484"/>
      <c r="AA55" s="485"/>
      <c r="AB55" s="485"/>
      <c r="AC55" s="485"/>
      <c r="AD55" s="485"/>
      <c r="AE55" s="485"/>
      <c r="AF55" s="486" t="s">
        <v>588</v>
      </c>
      <c r="AH55" s="484"/>
      <c r="AI55" s="485"/>
      <c r="AJ55" s="485"/>
      <c r="AK55" s="485"/>
      <c r="AL55" s="485"/>
      <c r="AM55" s="485"/>
      <c r="AN55" s="486" t="s">
        <v>588</v>
      </c>
      <c r="AP55" s="486" t="s">
        <v>588</v>
      </c>
      <c r="AQ55" s="470"/>
    </row>
    <row r="56" spans="2:43" ht="8.1" customHeight="1"/>
    <row r="57" spans="2:43" ht="15" customHeight="1">
      <c r="B57" s="490" t="s">
        <v>589</v>
      </c>
      <c r="C57" s="491"/>
    </row>
    <row r="58" spans="2:43" ht="15" customHeight="1">
      <c r="B58" s="492" t="s">
        <v>590</v>
      </c>
      <c r="C58" s="491"/>
    </row>
    <row r="59" spans="2:43" ht="15" customHeight="1">
      <c r="B59" s="492"/>
      <c r="C59" s="491"/>
    </row>
    <row r="60" spans="2:43" ht="15" customHeight="1">
      <c r="B60" s="492"/>
      <c r="C60" s="491"/>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K1:XFD1048576 J55:J1048576 A1:G1 J1 A2:I1048576 J2:J10"/>
  </dataValidations>
  <printOptions horizontalCentered="1"/>
  <pageMargins left="0.19685039370078741" right="0.19685039370078741" top="0.39370078740157483" bottom="0.19685039370078741" header="0.31496062992125984" footer="0.31496062992125984"/>
  <pageSetup paperSize="9" scale="68"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2" sqref="A2"/>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775</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591</v>
      </c>
      <c r="AM1" s="499"/>
      <c r="AN1" s="743" t="s">
        <v>122</v>
      </c>
      <c r="AO1" s="744"/>
      <c r="AP1" s="744"/>
      <c r="AQ1" s="745"/>
      <c r="AT1" s="501"/>
      <c r="AZ1" s="136">
        <v>2023</v>
      </c>
      <c r="BA1" s="136">
        <v>5</v>
      </c>
    </row>
    <row r="2" spans="1:53" s="500" customFormat="1" ht="18" customHeight="1">
      <c r="A2" s="497" t="s">
        <v>593</v>
      </c>
      <c r="B2" s="502"/>
      <c r="C2" s="502"/>
      <c r="D2" s="502"/>
      <c r="E2" s="502"/>
      <c r="F2" s="502"/>
      <c r="G2" s="502"/>
      <c r="H2" s="502"/>
      <c r="I2" s="502"/>
      <c r="J2" s="502"/>
      <c r="K2" s="502"/>
      <c r="L2" s="502"/>
      <c r="M2" s="502"/>
      <c r="N2" s="556"/>
      <c r="O2" s="502"/>
      <c r="P2" s="746">
        <f>YEAR(EOMONTH(DATE(SUM(2018+【共通】!N9),【共通】!P9,【共通】!R9),-2))</f>
        <v>2024</v>
      </c>
      <c r="Q2" s="746"/>
      <c r="R2" s="746"/>
      <c r="S2" s="746"/>
      <c r="T2" s="747" t="s">
        <v>27</v>
      </c>
      <c r="U2" s="747"/>
      <c r="V2" s="746">
        <f>MONTH(EOMONTH(DATE(2024,【共通】!P9,【共通】!R9),-2))</f>
        <v>9</v>
      </c>
      <c r="W2" s="746"/>
      <c r="X2" s="747" t="s">
        <v>310</v>
      </c>
      <c r="Y2" s="747"/>
      <c r="Z2" s="502"/>
      <c r="AA2" s="502"/>
      <c r="AB2" s="502"/>
      <c r="AC2" s="497"/>
      <c r="AD2" s="497"/>
      <c r="AE2" s="503"/>
      <c r="AF2" s="499"/>
      <c r="AG2" s="502"/>
      <c r="AH2" s="502"/>
      <c r="AI2" s="502"/>
      <c r="AJ2" s="502"/>
      <c r="AK2" s="502"/>
      <c r="AL2" s="499" t="s">
        <v>594</v>
      </c>
      <c r="AM2" s="499"/>
      <c r="AN2" s="748"/>
      <c r="AO2" s="749"/>
      <c r="AP2" s="749"/>
      <c r="AQ2" s="750"/>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595</v>
      </c>
      <c r="AM3" s="499"/>
      <c r="AN3" s="755" t="str">
        <f>IF(AN4="","予定/実績の別を選択",IF(AN4="予定","４週","暦月"))</f>
        <v>暦月</v>
      </c>
      <c r="AO3" s="756"/>
      <c r="AP3" s="756"/>
      <c r="AQ3" s="757"/>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596</v>
      </c>
      <c r="AM4" s="499"/>
      <c r="AN4" s="758" t="s">
        <v>670</v>
      </c>
      <c r="AO4" s="759"/>
      <c r="AP4" s="759"/>
      <c r="AQ4" s="760"/>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597</v>
      </c>
      <c r="AK6" s="761"/>
      <c r="AL6" s="761"/>
      <c r="AM6" s="761"/>
      <c r="AN6" s="505" t="s">
        <v>598</v>
      </c>
      <c r="AO6" s="507"/>
      <c r="AP6" s="505" t="s">
        <v>599</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600</v>
      </c>
      <c r="AK8" s="761"/>
      <c r="AL8" s="761"/>
      <c r="AM8" s="761"/>
      <c r="AN8" s="505" t="s">
        <v>598</v>
      </c>
      <c r="AO8" s="507"/>
      <c r="AP8" s="505" t="s">
        <v>599</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62" t="str">
        <f>IF(E16="","",IF(E15&lt;E16,"ＮＧ",""))</f>
        <v/>
      </c>
      <c r="F10" s="762"/>
      <c r="G10" s="762" t="str">
        <f>IF(G16="","",IF(G11="職業指導員",IF((G15+J15)&lt;(G16+J16),"ＮＧ",""),IF(G15&lt;G16,"ＮＧ","")))</f>
        <v/>
      </c>
      <c r="H10" s="762"/>
      <c r="I10" s="762"/>
      <c r="J10" s="762" t="str">
        <f>IF(J16="","",IF(J11="職業指導員",IF((J15+P15)&lt;(J16+P16),"ＮＧ",""),IF(J15&lt;J16,"ＮＧ","")))</f>
        <v/>
      </c>
      <c r="K10" s="762"/>
      <c r="L10" s="762"/>
      <c r="M10" s="762"/>
      <c r="N10" s="762"/>
      <c r="O10" s="762"/>
      <c r="P10" s="762" t="str">
        <f>IF(P16="","",IF(P15&lt;P16,"ＮＧ",""))</f>
        <v/>
      </c>
      <c r="Q10" s="762"/>
      <c r="R10" s="762"/>
      <c r="S10" s="762"/>
      <c r="T10" s="762"/>
      <c r="U10" s="762"/>
      <c r="V10" s="762" t="str">
        <f>IF(V16="","",IF(V15&lt;V16,"ＮＧ",""))</f>
        <v/>
      </c>
      <c r="W10" s="762"/>
      <c r="X10" s="762"/>
      <c r="Y10" s="762"/>
      <c r="Z10" s="762"/>
      <c r="AA10" s="762"/>
      <c r="AB10" s="751" t="str">
        <f>IF(AB16="","",IF(AB15&lt;AB16,"ＮＧ",""))</f>
        <v/>
      </c>
      <c r="AC10" s="751"/>
      <c r="AD10" s="751"/>
      <c r="AE10" s="751"/>
      <c r="AF10" s="751"/>
      <c r="AG10" s="751"/>
      <c r="AH10" s="751" t="str">
        <f>IF(AH16="","",IF(AH15&lt;AH16,"ＮＧ",""))</f>
        <v/>
      </c>
      <c r="AI10" s="751"/>
      <c r="AJ10" s="751"/>
      <c r="AK10" s="751"/>
      <c r="AL10" s="751"/>
      <c r="AM10" s="751"/>
      <c r="AN10" s="751" t="str">
        <f>IF(AN16="","",IF(AN15&lt;AN16,"ＮＧ",""))</f>
        <v/>
      </c>
      <c r="AO10" s="751"/>
      <c r="AP10" s="751" t="str">
        <f>IF(AP16="","",IF(AP15&lt;AP16,"ＮＧ",""))</f>
        <v/>
      </c>
      <c r="AQ10" s="751"/>
      <c r="AR10" s="752" t="str">
        <f>IF(AR16="","",IF(AR15&lt;AR16,"ＮＧ",""))</f>
        <v/>
      </c>
      <c r="AS10" s="752"/>
      <c r="AT10" s="501"/>
    </row>
    <row r="11" spans="1:53" s="503" customFormat="1" ht="21" customHeight="1">
      <c r="A11" s="496"/>
      <c r="B11" s="753"/>
      <c r="C11" s="715" t="s">
        <v>601</v>
      </c>
      <c r="D11" s="717"/>
      <c r="E11" s="707" t="str">
        <f>IFERROR(IF(VLOOKUP($AN$1,[5]選択肢!$A:$L,3,FALSE)="","---",(VLOOKUP($AN$1,[5]選択肢!$A:$L,3,FALSE))),"サービス種別未選択")</f>
        <v>サービス管理責任者</v>
      </c>
      <c r="F11" s="707"/>
      <c r="G11" s="707" t="str">
        <f>IFERROR(IF(VLOOKUP($AN$1,[5]選択肢!$A:$L,4,FALSE)="","---",(VLOOKUP($AN$1,[5]選択肢!$A:$L,4,FALSE))),"サービス種別"&amp;CHAR(10)&amp;"未選択")</f>
        <v>職業指導員</v>
      </c>
      <c r="H11" s="707"/>
      <c r="I11" s="707"/>
      <c r="J11" s="732" t="str">
        <f>IFERROR(IF(VLOOKUP($AN$1,[5]選択肢!$A:$L,5,FALSE)="","---",(VLOOKUP($AN$1,[5]選択肢!$A:$L,5,FALSE))),"サービス種別未選択")</f>
        <v>生活支援員</v>
      </c>
      <c r="K11" s="733"/>
      <c r="L11" s="733"/>
      <c r="M11" s="733"/>
      <c r="N11" s="733"/>
      <c r="O11" s="734"/>
      <c r="P11" s="732" t="str">
        <f>IFERROR(IF(VLOOKUP($AN$1,[5]選択肢!$A:$L,6,FALSE)="","---",(VLOOKUP($AN$1,[5]選択肢!$A:$L,6,FALSE))),"サービス種別未選択")</f>
        <v>目標工賃達成指導員</v>
      </c>
      <c r="Q11" s="733"/>
      <c r="R11" s="733"/>
      <c r="S11" s="733"/>
      <c r="T11" s="733"/>
      <c r="U11" s="734"/>
      <c r="V11" s="732" t="str">
        <f>IFERROR(IF(VLOOKUP($AN$1,[5]選択肢!$A:$L,7,FALSE)="","---",(VLOOKUP($AN$1,[5]選択肢!$A:$L,7,FALSE))),"サービス種別未選択")</f>
        <v>その他職員</v>
      </c>
      <c r="W11" s="733"/>
      <c r="X11" s="733"/>
      <c r="Y11" s="733"/>
      <c r="Z11" s="733"/>
      <c r="AA11" s="734"/>
      <c r="AB11" s="732" t="str">
        <f>IFERROR(IF(VLOOKUP($AN$1,[5]選択肢!$A:$L,8,FALSE)="","---",(VLOOKUP($AN$1,[5]選択肢!$A:$L,8,FALSE))),"サービス種別未選択")</f>
        <v>---</v>
      </c>
      <c r="AC11" s="733"/>
      <c r="AD11" s="733"/>
      <c r="AE11" s="733"/>
      <c r="AF11" s="733"/>
      <c r="AG11" s="734"/>
      <c r="AH11" s="732" t="str">
        <f>IFERROR(IF(VLOOKUP($AN$1,[5]選択肢!$A:$L,9,FALSE)="","---",(VLOOKUP($AN$1,[5]選択肢!$A:$L,9,FALSE))),"サービス種別未選択")</f>
        <v>---</v>
      </c>
      <c r="AI11" s="733"/>
      <c r="AJ11" s="733"/>
      <c r="AK11" s="733"/>
      <c r="AL11" s="733"/>
      <c r="AM11" s="734"/>
      <c r="AN11" s="696" t="str">
        <f>IFERROR(IF(VLOOKUP($AN$1,[5]選択肢!$A:$L,10,FALSE)="","---",(VLOOKUP($AN$1,[5]選択肢!$A:$L,10,FALSE))),"サービス種別未選択")</f>
        <v>---</v>
      </c>
      <c r="AO11" s="697"/>
      <c r="AP11" s="707" t="str">
        <f>IFERROR(IF(VLOOKUP($AN$1,[5]選択肢!$A:$L,11,FALSE)="","---",(VLOOKUP($AN$1,[5]選択肢!$A:$L,11,FALSE))),"サービス種別未選択")</f>
        <v>---</v>
      </c>
      <c r="AQ11" s="707"/>
      <c r="AR11" s="707" t="str">
        <f>IFERROR(IF(VLOOKUP($AN$1,[5]選択肢!$A:$L,12,FALSE)="","---",(VLOOKUP($AN$1,[5]選択肢!$A:$L,12,FALSE))),"サービス種別未選択")</f>
        <v>---</v>
      </c>
      <c r="AS11" s="707"/>
      <c r="AT11" s="508"/>
    </row>
    <row r="12" spans="1:53" s="503" customFormat="1" ht="24.95" customHeight="1">
      <c r="A12" s="497"/>
      <c r="B12" s="754"/>
      <c r="C12" s="721"/>
      <c r="D12" s="723"/>
      <c r="E12" s="509" t="s">
        <v>602</v>
      </c>
      <c r="F12" s="509" t="s">
        <v>603</v>
      </c>
      <c r="G12" s="510" t="s">
        <v>604</v>
      </c>
      <c r="H12" s="742" t="s">
        <v>605</v>
      </c>
      <c r="I12" s="742"/>
      <c r="J12" s="739" t="s">
        <v>606</v>
      </c>
      <c r="K12" s="740"/>
      <c r="L12" s="741"/>
      <c r="M12" s="739" t="s">
        <v>607</v>
      </c>
      <c r="N12" s="740"/>
      <c r="O12" s="741"/>
      <c r="P12" s="739" t="s">
        <v>606</v>
      </c>
      <c r="Q12" s="740"/>
      <c r="R12" s="741"/>
      <c r="S12" s="739" t="s">
        <v>607</v>
      </c>
      <c r="T12" s="740"/>
      <c r="U12" s="741"/>
      <c r="V12" s="739" t="s">
        <v>606</v>
      </c>
      <c r="W12" s="740"/>
      <c r="X12" s="741"/>
      <c r="Y12" s="739" t="s">
        <v>607</v>
      </c>
      <c r="Z12" s="740"/>
      <c r="AA12" s="741"/>
      <c r="AB12" s="739" t="s">
        <v>606</v>
      </c>
      <c r="AC12" s="740"/>
      <c r="AD12" s="741"/>
      <c r="AE12" s="739" t="s">
        <v>607</v>
      </c>
      <c r="AF12" s="740"/>
      <c r="AG12" s="741"/>
      <c r="AH12" s="739" t="s">
        <v>606</v>
      </c>
      <c r="AI12" s="740"/>
      <c r="AJ12" s="741"/>
      <c r="AK12" s="739" t="s">
        <v>607</v>
      </c>
      <c r="AL12" s="740"/>
      <c r="AM12" s="741"/>
      <c r="AN12" s="509" t="s">
        <v>602</v>
      </c>
      <c r="AO12" s="509" t="s">
        <v>603</v>
      </c>
      <c r="AP12" s="509" t="s">
        <v>602</v>
      </c>
      <c r="AQ12" s="509" t="s">
        <v>603</v>
      </c>
      <c r="AR12" s="509" t="s">
        <v>602</v>
      </c>
      <c r="AS12" s="509" t="s">
        <v>603</v>
      </c>
      <c r="AT12" s="508"/>
    </row>
    <row r="13" spans="1:53" s="503" customFormat="1" ht="18" customHeight="1">
      <c r="A13" s="497"/>
      <c r="B13" s="511" t="s">
        <v>608</v>
      </c>
      <c r="C13" s="696">
        <f>SUM(E13:AS13)</f>
        <v>0</v>
      </c>
      <c r="D13" s="697"/>
      <c r="E13" s="509">
        <f>COUNTIFS($B:$B,$E$11,$C:$C,"(A)常/専")</f>
        <v>0</v>
      </c>
      <c r="F13" s="509">
        <f>COUNTIFS($B:$B,$E$11,$C:$C,"(B)常/兼")</f>
        <v>0</v>
      </c>
      <c r="G13" s="509">
        <f>COUNTIFS($B:$B,$G$11,$C:$C,"(A)常/専")</f>
        <v>0</v>
      </c>
      <c r="H13" s="742">
        <f>COUNTIFS($B:$B,$G$11,$C:$C,"(B)常/兼")</f>
        <v>0</v>
      </c>
      <c r="I13" s="742"/>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609</v>
      </c>
      <c r="C14" s="696">
        <f>SUM(E14:AS14)</f>
        <v>0</v>
      </c>
      <c r="D14" s="697"/>
      <c r="E14" s="509">
        <f>COUNTIFS($B:$B,$E$11,$C:$C,"(C)非/専")</f>
        <v>0</v>
      </c>
      <c r="F14" s="509">
        <f>COUNTIFS($B:$B,$E$11,$C:$C,"(D)非/兼")</f>
        <v>0</v>
      </c>
      <c r="G14" s="509">
        <f>COUNTIFS($B:$B,$G$11,$C:$C,"(C)非/専")</f>
        <v>0</v>
      </c>
      <c r="H14" s="742">
        <f>COUNTIFS($B:$B,$G$11,$C:$C,"(D)非/兼")</f>
        <v>0</v>
      </c>
      <c r="I14" s="742"/>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610</v>
      </c>
      <c r="C15" s="696">
        <f>SUM(E15:AS15)-(SUMIFS($AR:$AR,$B:$B,"サービス管理責任者")+SUMIFS($AR:$AR,$B:$B,"医師")+SUMIFS($AR:$AR,$B:$B,"その他職員"))</f>
        <v>0</v>
      </c>
      <c r="D15" s="697"/>
      <c r="E15" s="732">
        <f>ROUND(SUMIF($B:$B,E11,$AR:$AR),1)</f>
        <v>0</v>
      </c>
      <c r="F15" s="734"/>
      <c r="G15" s="738">
        <f>ROUND(SUMIF($B:$B,G11,$AR:$AR),1)</f>
        <v>0</v>
      </c>
      <c r="H15" s="738"/>
      <c r="I15" s="738"/>
      <c r="J15" s="732">
        <f>ROUND(SUMIF($B:$B,J11,$AR:$AR),1)</f>
        <v>0</v>
      </c>
      <c r="K15" s="733"/>
      <c r="L15" s="733"/>
      <c r="M15" s="733"/>
      <c r="N15" s="733"/>
      <c r="O15" s="734"/>
      <c r="P15" s="732">
        <f>ROUND(SUMIF($B:$B,P11,$AR:$AR),1)</f>
        <v>0</v>
      </c>
      <c r="Q15" s="733"/>
      <c r="R15" s="733"/>
      <c r="S15" s="733"/>
      <c r="T15" s="733"/>
      <c r="U15" s="734"/>
      <c r="V15" s="732">
        <f>ROUND(SUMIF($B:$B,V11,$AR:$AR),1)</f>
        <v>0</v>
      </c>
      <c r="W15" s="733"/>
      <c r="X15" s="733"/>
      <c r="Y15" s="733"/>
      <c r="Z15" s="733"/>
      <c r="AA15" s="734"/>
      <c r="AB15" s="732">
        <f>ROUND(SUMIF($B:$B,AB11,$AR:$AR),1)</f>
        <v>0</v>
      </c>
      <c r="AC15" s="733"/>
      <c r="AD15" s="733"/>
      <c r="AE15" s="733"/>
      <c r="AF15" s="733"/>
      <c r="AG15" s="734"/>
      <c r="AH15" s="732">
        <f>ROUND(SUMIF($B:$B,AH11,$AR:$AR),1)</f>
        <v>0</v>
      </c>
      <c r="AI15" s="733"/>
      <c r="AJ15" s="733"/>
      <c r="AK15" s="733"/>
      <c r="AL15" s="733"/>
      <c r="AM15" s="734"/>
      <c r="AN15" s="732">
        <f>ROUND(SUMIF($B:$B,AN11,$AR:$AR),1)</f>
        <v>0</v>
      </c>
      <c r="AO15" s="734"/>
      <c r="AP15" s="732">
        <f>ROUND(SUMIF($B:$B,AP11,$AR:$AR),1)</f>
        <v>0</v>
      </c>
      <c r="AQ15" s="734"/>
      <c r="AR15" s="732">
        <f>SUMIF($B:$B,AR11,$AR:$AR)</f>
        <v>0</v>
      </c>
      <c r="AS15" s="734"/>
      <c r="AT15" s="508"/>
    </row>
    <row r="16" spans="1:53" s="503" customFormat="1" ht="18" customHeight="1">
      <c r="A16" s="497"/>
      <c r="B16" s="511" t="s">
        <v>611</v>
      </c>
      <c r="C16" s="735"/>
      <c r="D16" s="736"/>
      <c r="E16" s="727"/>
      <c r="F16" s="729"/>
      <c r="G16" s="737"/>
      <c r="H16" s="737"/>
      <c r="I16" s="737"/>
      <c r="J16" s="727"/>
      <c r="K16" s="728"/>
      <c r="L16" s="728"/>
      <c r="M16" s="728"/>
      <c r="N16" s="728"/>
      <c r="O16" s="729"/>
      <c r="P16" s="727"/>
      <c r="Q16" s="728"/>
      <c r="R16" s="728"/>
      <c r="S16" s="728"/>
      <c r="T16" s="728"/>
      <c r="U16" s="729"/>
      <c r="V16" s="727"/>
      <c r="W16" s="728"/>
      <c r="X16" s="728"/>
      <c r="Y16" s="728"/>
      <c r="Z16" s="728"/>
      <c r="AA16" s="729"/>
      <c r="AB16" s="727"/>
      <c r="AC16" s="728"/>
      <c r="AD16" s="728"/>
      <c r="AE16" s="728"/>
      <c r="AF16" s="728"/>
      <c r="AG16" s="729"/>
      <c r="AH16" s="727"/>
      <c r="AI16" s="728"/>
      <c r="AJ16" s="728"/>
      <c r="AK16" s="728"/>
      <c r="AL16" s="728"/>
      <c r="AM16" s="729"/>
      <c r="AN16" s="727"/>
      <c r="AO16" s="729"/>
      <c r="AP16" s="727"/>
      <c r="AQ16" s="729"/>
      <c r="AR16" s="727"/>
      <c r="AS16" s="729"/>
      <c r="AT16" s="508"/>
    </row>
    <row r="17" spans="1:51" s="503" customFormat="1" ht="7.5" customHeight="1">
      <c r="A17" s="497"/>
      <c r="B17" s="730" t="s">
        <v>612</v>
      </c>
      <c r="C17" s="730"/>
      <c r="D17" s="730"/>
      <c r="E17" s="730"/>
      <c r="F17" s="730"/>
      <c r="G17" s="730"/>
      <c r="H17" s="730"/>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31"/>
      <c r="C18" s="731"/>
      <c r="D18" s="731"/>
      <c r="E18" s="731"/>
      <c r="F18" s="731"/>
      <c r="G18" s="731"/>
      <c r="H18" s="731"/>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613</v>
      </c>
      <c r="AO18" s="502"/>
      <c r="AP18" s="497"/>
      <c r="AQ18" s="497"/>
      <c r="AR18" s="502"/>
      <c r="AS18" s="502"/>
      <c r="AT18" s="501"/>
    </row>
    <row r="19" spans="1:51" s="500" customFormat="1" ht="15" customHeight="1">
      <c r="A19" s="708" t="s">
        <v>26</v>
      </c>
      <c r="B19" s="707" t="s">
        <v>614</v>
      </c>
      <c r="C19" s="709" t="s">
        <v>615</v>
      </c>
      <c r="D19" s="710"/>
      <c r="E19" s="707" t="s">
        <v>616</v>
      </c>
      <c r="F19" s="715" t="s">
        <v>617</v>
      </c>
      <c r="G19" s="716"/>
      <c r="H19" s="717"/>
      <c r="I19" s="724" t="s">
        <v>618</v>
      </c>
      <c r="J19" s="725"/>
      <c r="K19" s="725"/>
      <c r="L19" s="725"/>
      <c r="M19" s="725"/>
      <c r="N19" s="725"/>
      <c r="O19" s="725"/>
      <c r="P19" s="725"/>
      <c r="Q19" s="725"/>
      <c r="R19" s="725"/>
      <c r="S19" s="725"/>
      <c r="T19" s="725"/>
      <c r="U19" s="725"/>
      <c r="V19" s="725"/>
      <c r="W19" s="725"/>
      <c r="X19" s="725"/>
      <c r="Y19" s="725"/>
      <c r="Z19" s="725"/>
      <c r="AA19" s="725"/>
      <c r="AB19" s="725"/>
      <c r="AC19" s="725"/>
      <c r="AD19" s="725"/>
      <c r="AE19" s="725"/>
      <c r="AF19" s="725"/>
      <c r="AG19" s="725"/>
      <c r="AH19" s="725"/>
      <c r="AI19" s="725"/>
      <c r="AJ19" s="725"/>
      <c r="AK19" s="725"/>
      <c r="AL19" s="725"/>
      <c r="AM19" s="726"/>
      <c r="AN19" s="698" t="s">
        <v>619</v>
      </c>
      <c r="AO19" s="699" t="s">
        <v>620</v>
      </c>
      <c r="AP19" s="700" t="s">
        <v>621</v>
      </c>
      <c r="AQ19" s="701"/>
      <c r="AR19" s="699" t="s">
        <v>622</v>
      </c>
      <c r="AS19" s="699"/>
      <c r="AT19" s="501"/>
    </row>
    <row r="20" spans="1:51" s="500" customFormat="1" ht="15" customHeight="1">
      <c r="A20" s="708"/>
      <c r="B20" s="707"/>
      <c r="C20" s="711"/>
      <c r="D20" s="712"/>
      <c r="E20" s="707"/>
      <c r="F20" s="718"/>
      <c r="G20" s="719"/>
      <c r="H20" s="720"/>
      <c r="I20" s="696" t="s">
        <v>623</v>
      </c>
      <c r="J20" s="706"/>
      <c r="K20" s="706"/>
      <c r="L20" s="706"/>
      <c r="M20" s="706"/>
      <c r="N20" s="706"/>
      <c r="O20" s="697"/>
      <c r="P20" s="707" t="s">
        <v>624</v>
      </c>
      <c r="Q20" s="707"/>
      <c r="R20" s="707"/>
      <c r="S20" s="707"/>
      <c r="T20" s="707"/>
      <c r="U20" s="707"/>
      <c r="V20" s="707"/>
      <c r="W20" s="707" t="s">
        <v>625</v>
      </c>
      <c r="X20" s="707"/>
      <c r="Y20" s="707"/>
      <c r="Z20" s="707"/>
      <c r="AA20" s="707"/>
      <c r="AB20" s="707"/>
      <c r="AC20" s="707"/>
      <c r="AD20" s="707" t="s">
        <v>626</v>
      </c>
      <c r="AE20" s="707"/>
      <c r="AF20" s="707"/>
      <c r="AG20" s="707"/>
      <c r="AH20" s="707"/>
      <c r="AI20" s="707"/>
      <c r="AJ20" s="707"/>
      <c r="AK20" s="707" t="str">
        <f>IF(AN3="暦月","第５週","")</f>
        <v>第５週</v>
      </c>
      <c r="AL20" s="707"/>
      <c r="AM20" s="707"/>
      <c r="AN20" s="698"/>
      <c r="AO20" s="699"/>
      <c r="AP20" s="702"/>
      <c r="AQ20" s="703"/>
      <c r="AR20" s="699"/>
      <c r="AS20" s="699"/>
      <c r="AT20" s="501"/>
    </row>
    <row r="21" spans="1:51" s="500" customFormat="1" ht="15" customHeight="1">
      <c r="A21" s="708"/>
      <c r="B21" s="707"/>
      <c r="C21" s="711"/>
      <c r="D21" s="712"/>
      <c r="E21" s="707"/>
      <c r="F21" s="718"/>
      <c r="G21" s="719"/>
      <c r="H21" s="720"/>
      <c r="I21" s="515">
        <f>DATE($P$2,$V$2,1)</f>
        <v>45536</v>
      </c>
      <c r="J21" s="515">
        <f>DATE($P$2,$V$2,2)</f>
        <v>45537</v>
      </c>
      <c r="K21" s="515">
        <f>DATE($P$2,$V$2,3)</f>
        <v>45538</v>
      </c>
      <c r="L21" s="515">
        <f>DATE($P$2,$V$2,4)</f>
        <v>45539</v>
      </c>
      <c r="M21" s="515">
        <f>DATE($P$2,$V$2,5)</f>
        <v>45540</v>
      </c>
      <c r="N21" s="515">
        <f>DATE($P$2,$V$2,6)</f>
        <v>45541</v>
      </c>
      <c r="O21" s="515">
        <f>DATE($P$2,$V$2,7)</f>
        <v>45542</v>
      </c>
      <c r="P21" s="515">
        <f>DATE($P$2,$V$2,8)</f>
        <v>45543</v>
      </c>
      <c r="Q21" s="515">
        <f>DATE($P$2,$V$2,9)</f>
        <v>45544</v>
      </c>
      <c r="R21" s="515">
        <f>DATE($P$2,$V$2,10)</f>
        <v>45545</v>
      </c>
      <c r="S21" s="515">
        <f>DATE($P$2,$V$2,11)</f>
        <v>45546</v>
      </c>
      <c r="T21" s="515">
        <f>DATE($P$2,$V$2,12)</f>
        <v>45547</v>
      </c>
      <c r="U21" s="515">
        <f>DATE($P$2,$V$2,13)</f>
        <v>45548</v>
      </c>
      <c r="V21" s="515">
        <f>DATE($P$2,$V$2,14)</f>
        <v>45549</v>
      </c>
      <c r="W21" s="515">
        <f>DATE($P$2,$V$2,15)</f>
        <v>45550</v>
      </c>
      <c r="X21" s="515">
        <f>DATE($P$2,$V$2,16)</f>
        <v>45551</v>
      </c>
      <c r="Y21" s="515">
        <f>DATE($P$2,$V$2,17)</f>
        <v>45552</v>
      </c>
      <c r="Z21" s="515">
        <f>DATE($P$2,$V$2,18)</f>
        <v>45553</v>
      </c>
      <c r="AA21" s="515">
        <f>DATE($P$2,$V$2,19)</f>
        <v>45554</v>
      </c>
      <c r="AB21" s="515">
        <f>DATE($P$2,$V$2,20)</f>
        <v>45555</v>
      </c>
      <c r="AC21" s="515">
        <f>DATE($P$2,$V$2,21)</f>
        <v>45556</v>
      </c>
      <c r="AD21" s="515">
        <f>DATE($P$2,$V$2,22)</f>
        <v>45557</v>
      </c>
      <c r="AE21" s="515">
        <f>DATE($P$2,$V$2,23)</f>
        <v>45558</v>
      </c>
      <c r="AF21" s="515">
        <f>DATE($P$2,$V$2,24)</f>
        <v>45559</v>
      </c>
      <c r="AG21" s="515">
        <f>DATE($P$2,$V$2,25)</f>
        <v>45560</v>
      </c>
      <c r="AH21" s="515">
        <f>DATE($P$2,$V$2,26)</f>
        <v>45561</v>
      </c>
      <c r="AI21" s="515">
        <f>DATE($P$2,$V$2,27)</f>
        <v>45562</v>
      </c>
      <c r="AJ21" s="515">
        <f>DATE($P$2,$V$2,28)</f>
        <v>45563</v>
      </c>
      <c r="AK21" s="515">
        <f>IF(AN3="暦月",IF(DAY(EOMONTH(I21,0))&lt;29,"",DATE($P$2,$V$2,29)),"")</f>
        <v>45564</v>
      </c>
      <c r="AL21" s="515">
        <f>IF(AN3="暦月",IF(DAY(EOMONTH(I21,0))&lt;30,"",DATE($P$2,$V$2,30)),"")</f>
        <v>45565</v>
      </c>
      <c r="AM21" s="515" t="str">
        <f>IF(AN3="暦月",IF(DAY(EOMONTH(I21,0))&lt;31,"",DATE($P$2,$V$2,31)),"")</f>
        <v/>
      </c>
      <c r="AN21" s="698"/>
      <c r="AO21" s="699"/>
      <c r="AP21" s="702"/>
      <c r="AQ21" s="703"/>
      <c r="AR21" s="699"/>
      <c r="AS21" s="699"/>
      <c r="AT21" s="501"/>
    </row>
    <row r="22" spans="1:51" s="500" customFormat="1" ht="15" customHeight="1">
      <c r="A22" s="708"/>
      <c r="B22" s="707"/>
      <c r="C22" s="713"/>
      <c r="D22" s="714"/>
      <c r="E22" s="707"/>
      <c r="F22" s="721"/>
      <c r="G22" s="722"/>
      <c r="H22" s="723"/>
      <c r="I22" s="516">
        <f>DATE($P$2,$V$2,1)</f>
        <v>45536</v>
      </c>
      <c r="J22" s="516">
        <f>DATE($P$2,$V$2,2)</f>
        <v>45537</v>
      </c>
      <c r="K22" s="516">
        <f>DATE($P$2,$V$2,3)</f>
        <v>45538</v>
      </c>
      <c r="L22" s="516">
        <f>DATE($P$2,$V$2,4)</f>
        <v>45539</v>
      </c>
      <c r="M22" s="516">
        <f>DATE($P$2,$V$2,5)</f>
        <v>45540</v>
      </c>
      <c r="N22" s="516">
        <f>DATE($P$2,$V$2,6)</f>
        <v>45541</v>
      </c>
      <c r="O22" s="516">
        <f>DATE($P$2,$V$2,7)</f>
        <v>45542</v>
      </c>
      <c r="P22" s="516">
        <f>DATE($P$2,$V$2,8)</f>
        <v>45543</v>
      </c>
      <c r="Q22" s="516">
        <f>DATE($P$2,$V$2,9)</f>
        <v>45544</v>
      </c>
      <c r="R22" s="516">
        <f>DATE($P$2,$V$2,10)</f>
        <v>45545</v>
      </c>
      <c r="S22" s="516">
        <f>DATE($P$2,$V$2,11)</f>
        <v>45546</v>
      </c>
      <c r="T22" s="516">
        <f>DATE($P$2,$V$2,12)</f>
        <v>45547</v>
      </c>
      <c r="U22" s="516">
        <f>DATE($P$2,$V$2,13)</f>
        <v>45548</v>
      </c>
      <c r="V22" s="516">
        <f>DATE($P$2,$V$2,14)</f>
        <v>45549</v>
      </c>
      <c r="W22" s="516">
        <f>DATE($P$2,$V$2,15)</f>
        <v>45550</v>
      </c>
      <c r="X22" s="516">
        <f>DATE($P$2,$V$2,16)</f>
        <v>45551</v>
      </c>
      <c r="Y22" s="516">
        <f>DATE($P$2,$V$2,17)</f>
        <v>45552</v>
      </c>
      <c r="Z22" s="516">
        <f>DATE($P$2,$V$2,18)</f>
        <v>45553</v>
      </c>
      <c r="AA22" s="516">
        <f>DATE($P$2,$V$2,19)</f>
        <v>45554</v>
      </c>
      <c r="AB22" s="516">
        <f>DATE($P$2,$V$2,20)</f>
        <v>45555</v>
      </c>
      <c r="AC22" s="516">
        <f>DATE($P$2,$V$2,21)</f>
        <v>45556</v>
      </c>
      <c r="AD22" s="516">
        <f>DATE($P$2,$V$2,22)</f>
        <v>45557</v>
      </c>
      <c r="AE22" s="516">
        <f>DATE($P$2,$V$2,23)</f>
        <v>45558</v>
      </c>
      <c r="AF22" s="516">
        <f>DATE($P$2,$V$2,24)</f>
        <v>45559</v>
      </c>
      <c r="AG22" s="516">
        <f>DATE($P$2,$V$2,25)</f>
        <v>45560</v>
      </c>
      <c r="AH22" s="516">
        <f>DATE($P$2,$V$2,26)</f>
        <v>45561</v>
      </c>
      <c r="AI22" s="516">
        <f>DATE($P$2,$V$2,27)</f>
        <v>45562</v>
      </c>
      <c r="AJ22" s="516">
        <f>DATE($P$2,$V$2,28)</f>
        <v>45563</v>
      </c>
      <c r="AK22" s="516">
        <f>IF(AN3="暦月",IF(DAY(EOMONTH(I22,0))&lt;29,"",DATE($P$2,$V$2,29)),"")</f>
        <v>45564</v>
      </c>
      <c r="AL22" s="516">
        <f>IF(AN3="暦月",IF(DAY(EOMONTH(I22,0))&lt;30,"",DATE($P$2,$V$2,30)),"")</f>
        <v>45565</v>
      </c>
      <c r="AM22" s="516" t="str">
        <f>IF(AN3="暦月",IF(DAY(EOMONTH(I22,0))&lt;31,"",DATE($P$2,$V$2,31)),"")</f>
        <v/>
      </c>
      <c r="AN22" s="698"/>
      <c r="AO22" s="699"/>
      <c r="AP22" s="704"/>
      <c r="AQ22" s="705"/>
      <c r="AR22" s="699"/>
      <c r="AS22" s="699"/>
      <c r="AT22" s="501"/>
      <c r="AU22" s="696" t="s">
        <v>610</v>
      </c>
      <c r="AV22" s="697"/>
      <c r="AX22" s="696" t="s">
        <v>627</v>
      </c>
      <c r="AY22" s="697"/>
    </row>
    <row r="23" spans="1:51" s="500" customFormat="1" ht="12" customHeight="1">
      <c r="A23" s="672">
        <v>1</v>
      </c>
      <c r="B23" s="675" t="s">
        <v>682</v>
      </c>
      <c r="C23" s="693"/>
      <c r="D23" s="681" t="s">
        <v>628</v>
      </c>
      <c r="E23" s="517"/>
      <c r="F23" s="684"/>
      <c r="G23" s="685"/>
      <c r="H23" s="518" t="s">
        <v>629</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90">
        <f>IF(LEFT($AN$1,6)="共同生活援助",SUM(I24:AM24),SUM(I24:AM25))</f>
        <v>0</v>
      </c>
      <c r="AO23" s="662">
        <f>IF($AN$3="４週",AN23/4,AN23/(DAY(EOMONTH($I$21,0))/7))</f>
        <v>0</v>
      </c>
      <c r="AP23" s="665"/>
      <c r="AQ23" s="666"/>
      <c r="AR23" s="662" t="str">
        <f>IF($AN$3="４週",AU24,AV24)</f>
        <v/>
      </c>
      <c r="AS23" s="662"/>
      <c r="AT23" s="671" t="str">
        <f>IF(AX24&lt;=1.1,"",IF(AY24&lt;=1.1,"",IF(F23="","","勤務時間"&amp;CHAR(10)&amp;"OVER")))</f>
        <v/>
      </c>
      <c r="AU23" s="520" t="s">
        <v>630</v>
      </c>
      <c r="AV23" s="520" t="s">
        <v>631</v>
      </c>
      <c r="AX23" s="520" t="s">
        <v>632</v>
      </c>
      <c r="AY23" s="520" t="s">
        <v>633</v>
      </c>
    </row>
    <row r="24" spans="1:51" s="500" customFormat="1" ht="12" customHeight="1">
      <c r="A24" s="673"/>
      <c r="B24" s="676"/>
      <c r="C24" s="694"/>
      <c r="D24" s="682"/>
      <c r="E24" s="521"/>
      <c r="F24" s="686"/>
      <c r="G24" s="687"/>
      <c r="H24" s="522" t="s">
        <v>634</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91"/>
      <c r="AO24" s="663"/>
      <c r="AP24" s="667"/>
      <c r="AQ24" s="668"/>
      <c r="AR24" s="663"/>
      <c r="AS24" s="663"/>
      <c r="AT24" s="671"/>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4"/>
      <c r="B25" s="677"/>
      <c r="C25" s="695"/>
      <c r="D25" s="683"/>
      <c r="E25" s="521"/>
      <c r="F25" s="688"/>
      <c r="G25" s="689"/>
      <c r="H25" s="525" t="s">
        <v>635</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92"/>
      <c r="AO25" s="664"/>
      <c r="AP25" s="669"/>
      <c r="AQ25" s="670"/>
      <c r="AR25" s="664"/>
      <c r="AS25" s="664"/>
      <c r="AT25" s="671"/>
      <c r="AU25" s="527"/>
      <c r="AV25" s="527"/>
      <c r="AX25" s="527"/>
      <c r="AY25" s="527"/>
    </row>
    <row r="26" spans="1:51" s="500" customFormat="1" ht="12" customHeight="1">
      <c r="A26" s="672">
        <v>2</v>
      </c>
      <c r="B26" s="675" t="s">
        <v>688</v>
      </c>
      <c r="C26" s="693"/>
      <c r="D26" s="681" t="s">
        <v>628</v>
      </c>
      <c r="E26" s="517"/>
      <c r="F26" s="684"/>
      <c r="G26" s="685"/>
      <c r="H26" s="518" t="s">
        <v>629</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90">
        <f t="shared" ref="AN26" si="2">IF(LEFT($AN$1,6)="共同生活援助",SUM(I27:AM27),SUM(I27:AM28))</f>
        <v>0</v>
      </c>
      <c r="AO26" s="662">
        <f>IF($AN$3="４週",AN26/4,AN26/(DAY(EOMONTH($I$21,0))/7))</f>
        <v>0</v>
      </c>
      <c r="AP26" s="665"/>
      <c r="AQ26" s="666"/>
      <c r="AR26" s="662" t="str">
        <f>IF($AN$3="４週",AU27,AV27)</f>
        <v/>
      </c>
      <c r="AS26" s="662"/>
      <c r="AT26" s="671" t="str">
        <f t="shared" ref="AT26" si="3">IF(AX27&lt;=1.1,"",IF(AY27&lt;=1.1,"",IF(F26="","","勤務時間"&amp;CHAR(10)&amp;"OVER")))</f>
        <v/>
      </c>
      <c r="AU26" s="520" t="s">
        <v>630</v>
      </c>
      <c r="AV26" s="520" t="s">
        <v>631</v>
      </c>
      <c r="AX26" s="520" t="s">
        <v>632</v>
      </c>
      <c r="AY26" s="520" t="s">
        <v>633</v>
      </c>
    </row>
    <row r="27" spans="1:51" s="500" customFormat="1" ht="12" customHeight="1">
      <c r="A27" s="673"/>
      <c r="B27" s="676"/>
      <c r="C27" s="694"/>
      <c r="D27" s="682"/>
      <c r="E27" s="521"/>
      <c r="F27" s="686"/>
      <c r="G27" s="687"/>
      <c r="H27" s="522" t="s">
        <v>634</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91"/>
      <c r="AO27" s="663"/>
      <c r="AP27" s="667"/>
      <c r="AQ27" s="668"/>
      <c r="AR27" s="663"/>
      <c r="AS27" s="663"/>
      <c r="AT27" s="671"/>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4"/>
      <c r="B28" s="677"/>
      <c r="C28" s="695"/>
      <c r="D28" s="683"/>
      <c r="E28" s="521"/>
      <c r="F28" s="688"/>
      <c r="G28" s="689"/>
      <c r="H28" s="525" t="s">
        <v>635</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92"/>
      <c r="AO28" s="664"/>
      <c r="AP28" s="669"/>
      <c r="AQ28" s="670"/>
      <c r="AR28" s="664"/>
      <c r="AS28" s="664"/>
      <c r="AT28" s="671"/>
      <c r="AU28" s="527"/>
      <c r="AV28" s="527"/>
      <c r="AX28" s="527"/>
      <c r="AY28" s="527"/>
    </row>
    <row r="29" spans="1:51" s="500" customFormat="1" ht="12" customHeight="1">
      <c r="A29" s="672">
        <v>3</v>
      </c>
      <c r="B29" s="675"/>
      <c r="C29" s="693"/>
      <c r="D29" s="681" t="s">
        <v>628</v>
      </c>
      <c r="E29" s="517"/>
      <c r="F29" s="684"/>
      <c r="G29" s="685"/>
      <c r="H29" s="518" t="s">
        <v>629</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90">
        <f t="shared" ref="AN29" si="6">IF(LEFT($AN$1,6)="共同生活援助",SUM(I30:AM30),SUM(I30:AM31))</f>
        <v>0</v>
      </c>
      <c r="AO29" s="662">
        <f>IF($AN$3="４週",AN29/4,AN29/(DAY(EOMONTH($I$21,0))/7))</f>
        <v>0</v>
      </c>
      <c r="AP29" s="665"/>
      <c r="AQ29" s="666"/>
      <c r="AR29" s="662" t="str">
        <f>IF($AN$3="４週",AU30,AV30)</f>
        <v/>
      </c>
      <c r="AS29" s="662"/>
      <c r="AT29" s="671" t="str">
        <f t="shared" ref="AT29" si="7">IF(AX30&lt;=1.1,"",IF(AY30&lt;=1.1,"",IF(F29="","","勤務時間"&amp;CHAR(10)&amp;"OVER")))</f>
        <v/>
      </c>
      <c r="AU29" s="520" t="s">
        <v>630</v>
      </c>
      <c r="AV29" s="520" t="s">
        <v>631</v>
      </c>
      <c r="AX29" s="520" t="s">
        <v>632</v>
      </c>
      <c r="AY29" s="520" t="s">
        <v>633</v>
      </c>
    </row>
    <row r="30" spans="1:51" s="500" customFormat="1" ht="12" customHeight="1">
      <c r="A30" s="673"/>
      <c r="B30" s="676"/>
      <c r="C30" s="694"/>
      <c r="D30" s="682"/>
      <c r="E30" s="521"/>
      <c r="F30" s="686"/>
      <c r="G30" s="687"/>
      <c r="H30" s="522" t="s">
        <v>634</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91"/>
      <c r="AO30" s="663"/>
      <c r="AP30" s="667"/>
      <c r="AQ30" s="668"/>
      <c r="AR30" s="663"/>
      <c r="AS30" s="663"/>
      <c r="AT30" s="671"/>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4"/>
      <c r="B31" s="677"/>
      <c r="C31" s="695"/>
      <c r="D31" s="683"/>
      <c r="E31" s="521"/>
      <c r="F31" s="688"/>
      <c r="G31" s="689"/>
      <c r="H31" s="525" t="s">
        <v>635</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92"/>
      <c r="AO31" s="664"/>
      <c r="AP31" s="669"/>
      <c r="AQ31" s="670"/>
      <c r="AR31" s="664"/>
      <c r="AS31" s="664"/>
      <c r="AT31" s="671"/>
      <c r="AU31" s="527"/>
      <c r="AV31" s="527"/>
      <c r="AX31" s="527"/>
      <c r="AY31" s="527"/>
    </row>
    <row r="32" spans="1:51" s="500" customFormat="1" ht="12" customHeight="1">
      <c r="A32" s="672">
        <v>4</v>
      </c>
      <c r="B32" s="675"/>
      <c r="C32" s="693"/>
      <c r="D32" s="681" t="s">
        <v>628</v>
      </c>
      <c r="E32" s="517"/>
      <c r="F32" s="684"/>
      <c r="G32" s="685"/>
      <c r="H32" s="518" t="s">
        <v>629</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90">
        <f t="shared" ref="AN32" si="10">IF(LEFT($AN$1,6)="共同生活援助",SUM(I33:AM33),SUM(I33:AM34))</f>
        <v>0</v>
      </c>
      <c r="AO32" s="662">
        <f>IF($AN$3="４週",AN32/4,AN32/(DAY(EOMONTH($I$21,0))/7))</f>
        <v>0</v>
      </c>
      <c r="AP32" s="665"/>
      <c r="AQ32" s="666"/>
      <c r="AR32" s="662" t="str">
        <f t="shared" ref="AR32" si="11">IF($AN$3="４週",AU33,AV33)</f>
        <v/>
      </c>
      <c r="AS32" s="662"/>
      <c r="AT32" s="671" t="str">
        <f t="shared" ref="AT32" si="12">IF(AX33&lt;=1.1,"",IF(AY33&lt;=1.1,"",IF(F32="","","勤務時間"&amp;CHAR(10)&amp;"OVER")))</f>
        <v/>
      </c>
      <c r="AU32" s="520" t="s">
        <v>630</v>
      </c>
      <c r="AV32" s="520" t="s">
        <v>631</v>
      </c>
      <c r="AX32" s="520" t="s">
        <v>632</v>
      </c>
      <c r="AY32" s="520" t="s">
        <v>633</v>
      </c>
    </row>
    <row r="33" spans="1:51" s="500" customFormat="1" ht="12" customHeight="1">
      <c r="A33" s="673"/>
      <c r="B33" s="676"/>
      <c r="C33" s="694"/>
      <c r="D33" s="682"/>
      <c r="E33" s="521"/>
      <c r="F33" s="686"/>
      <c r="G33" s="687"/>
      <c r="H33" s="522" t="s">
        <v>634</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91"/>
      <c r="AO33" s="663"/>
      <c r="AP33" s="667"/>
      <c r="AQ33" s="668"/>
      <c r="AR33" s="663"/>
      <c r="AS33" s="663"/>
      <c r="AT33" s="671"/>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4"/>
      <c r="B34" s="677"/>
      <c r="C34" s="695"/>
      <c r="D34" s="683"/>
      <c r="E34" s="521"/>
      <c r="F34" s="688"/>
      <c r="G34" s="689"/>
      <c r="H34" s="525" t="s">
        <v>635</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92"/>
      <c r="AO34" s="664"/>
      <c r="AP34" s="669"/>
      <c r="AQ34" s="670"/>
      <c r="AR34" s="664"/>
      <c r="AS34" s="664"/>
      <c r="AT34" s="671"/>
      <c r="AU34" s="527"/>
      <c r="AV34" s="527"/>
      <c r="AX34" s="527"/>
      <c r="AY34" s="527"/>
    </row>
    <row r="35" spans="1:51" s="500" customFormat="1" ht="12" customHeight="1">
      <c r="A35" s="672">
        <v>5</v>
      </c>
      <c r="B35" s="675"/>
      <c r="C35" s="693"/>
      <c r="D35" s="681" t="s">
        <v>628</v>
      </c>
      <c r="E35" s="517"/>
      <c r="F35" s="684"/>
      <c r="G35" s="685"/>
      <c r="H35" s="518" t="s">
        <v>629</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90">
        <f t="shared" ref="AN35" si="15">IF(LEFT($AN$1,6)="共同生活援助",SUM(I36:AM36),SUM(I36:AM37))</f>
        <v>0</v>
      </c>
      <c r="AO35" s="662">
        <f>IF($AN$3="４週",AN35/4,AN35/(DAY(EOMONTH($I$21,0))/7))</f>
        <v>0</v>
      </c>
      <c r="AP35" s="665"/>
      <c r="AQ35" s="666"/>
      <c r="AR35" s="662" t="str">
        <f t="shared" ref="AR35" si="16">IF($AN$3="４週",AU36,AV36)</f>
        <v/>
      </c>
      <c r="AS35" s="662"/>
      <c r="AT35" s="671" t="str">
        <f t="shared" ref="AT35" si="17">IF(AX36&lt;=1.1,"",IF(AY36&lt;=1.1,"",IF(F35="","","勤務時間"&amp;CHAR(10)&amp;"OVER")))</f>
        <v/>
      </c>
      <c r="AU35" s="520" t="s">
        <v>630</v>
      </c>
      <c r="AV35" s="520" t="s">
        <v>631</v>
      </c>
      <c r="AX35" s="520" t="s">
        <v>632</v>
      </c>
      <c r="AY35" s="520" t="s">
        <v>633</v>
      </c>
    </row>
    <row r="36" spans="1:51" s="500" customFormat="1" ht="12" customHeight="1">
      <c r="A36" s="673"/>
      <c r="B36" s="676"/>
      <c r="C36" s="694"/>
      <c r="D36" s="682"/>
      <c r="E36" s="521"/>
      <c r="F36" s="686"/>
      <c r="G36" s="687"/>
      <c r="H36" s="522" t="s">
        <v>634</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91"/>
      <c r="AO36" s="663"/>
      <c r="AP36" s="667"/>
      <c r="AQ36" s="668"/>
      <c r="AR36" s="663"/>
      <c r="AS36" s="663"/>
      <c r="AT36" s="671"/>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4"/>
      <c r="B37" s="677"/>
      <c r="C37" s="695"/>
      <c r="D37" s="683"/>
      <c r="E37" s="521"/>
      <c r="F37" s="688"/>
      <c r="G37" s="689"/>
      <c r="H37" s="525" t="s">
        <v>635</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92"/>
      <c r="AO37" s="664"/>
      <c r="AP37" s="669"/>
      <c r="AQ37" s="670"/>
      <c r="AR37" s="664"/>
      <c r="AS37" s="664"/>
      <c r="AT37" s="671"/>
      <c r="AU37" s="527"/>
      <c r="AV37" s="527"/>
      <c r="AX37" s="527"/>
      <c r="AY37" s="527"/>
    </row>
    <row r="38" spans="1:51" s="500" customFormat="1" ht="12" customHeight="1">
      <c r="A38" s="672">
        <v>6</v>
      </c>
      <c r="B38" s="675"/>
      <c r="C38" s="693"/>
      <c r="D38" s="681" t="s">
        <v>628</v>
      </c>
      <c r="E38" s="517"/>
      <c r="F38" s="684"/>
      <c r="G38" s="685"/>
      <c r="H38" s="518" t="s">
        <v>629</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90">
        <f t="shared" ref="AN38" si="20">IF(LEFT($AN$1,6)="共同生活援助",SUM(I39:AM39),SUM(I39:AM40))</f>
        <v>0</v>
      </c>
      <c r="AO38" s="662">
        <f>IF($AN$3="４週",AN38/4,AN38/(DAY(EOMONTH($I$21,0))/7))</f>
        <v>0</v>
      </c>
      <c r="AP38" s="665"/>
      <c r="AQ38" s="666"/>
      <c r="AR38" s="662" t="str">
        <f t="shared" ref="AR38" si="21">IF($AN$3="４週",AU39,AV39)</f>
        <v/>
      </c>
      <c r="AS38" s="662"/>
      <c r="AT38" s="671" t="str">
        <f t="shared" ref="AT38" si="22">IF(AX39&lt;=1.1,"",IF(AY39&lt;=1.1,"",IF(F38="","","勤務時間"&amp;CHAR(10)&amp;"OVER")))</f>
        <v/>
      </c>
      <c r="AU38" s="520" t="s">
        <v>630</v>
      </c>
      <c r="AV38" s="520" t="s">
        <v>631</v>
      </c>
      <c r="AX38" s="520" t="s">
        <v>632</v>
      </c>
      <c r="AY38" s="520" t="s">
        <v>633</v>
      </c>
    </row>
    <row r="39" spans="1:51" s="500" customFormat="1" ht="12" customHeight="1">
      <c r="A39" s="673"/>
      <c r="B39" s="676"/>
      <c r="C39" s="694"/>
      <c r="D39" s="682"/>
      <c r="E39" s="521"/>
      <c r="F39" s="686"/>
      <c r="G39" s="687"/>
      <c r="H39" s="522" t="s">
        <v>634</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91"/>
      <c r="AO39" s="663"/>
      <c r="AP39" s="667"/>
      <c r="AQ39" s="668"/>
      <c r="AR39" s="663"/>
      <c r="AS39" s="663"/>
      <c r="AT39" s="671"/>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4"/>
      <c r="B40" s="677"/>
      <c r="C40" s="695"/>
      <c r="D40" s="683"/>
      <c r="E40" s="521"/>
      <c r="F40" s="688"/>
      <c r="G40" s="689"/>
      <c r="H40" s="525" t="s">
        <v>635</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92"/>
      <c r="AO40" s="664"/>
      <c r="AP40" s="669"/>
      <c r="AQ40" s="670"/>
      <c r="AR40" s="664"/>
      <c r="AS40" s="664"/>
      <c r="AT40" s="671"/>
      <c r="AU40" s="527"/>
      <c r="AV40" s="527"/>
      <c r="AX40" s="527"/>
      <c r="AY40" s="527"/>
    </row>
    <row r="41" spans="1:51" s="500" customFormat="1" ht="12" customHeight="1">
      <c r="A41" s="672">
        <v>7</v>
      </c>
      <c r="B41" s="675"/>
      <c r="C41" s="693"/>
      <c r="D41" s="681" t="s">
        <v>628</v>
      </c>
      <c r="E41" s="517"/>
      <c r="F41" s="684"/>
      <c r="G41" s="685"/>
      <c r="H41" s="518" t="s">
        <v>629</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90">
        <f t="shared" ref="AN41" si="25">IF(LEFT($AN$1,6)="共同生活援助",SUM(I42:AM42),SUM(I42:AM43))</f>
        <v>0</v>
      </c>
      <c r="AO41" s="662">
        <f>IF($AN$3="４週",AN41/4,AN41/(DAY(EOMONTH($I$21,0))/7))</f>
        <v>0</v>
      </c>
      <c r="AP41" s="665"/>
      <c r="AQ41" s="666"/>
      <c r="AR41" s="662" t="str">
        <f t="shared" ref="AR41" si="26">IF($AN$3="４週",AU42,AV42)</f>
        <v/>
      </c>
      <c r="AS41" s="662"/>
      <c r="AT41" s="671" t="str">
        <f t="shared" ref="AT41" si="27">IF(AX42&lt;=1.1,"",IF(AY42&lt;=1.1,"",IF(F41="","","勤務時間"&amp;CHAR(10)&amp;"OVER")))</f>
        <v/>
      </c>
      <c r="AU41" s="520" t="s">
        <v>630</v>
      </c>
      <c r="AV41" s="520" t="s">
        <v>631</v>
      </c>
      <c r="AX41" s="520" t="s">
        <v>632</v>
      </c>
      <c r="AY41" s="520" t="s">
        <v>633</v>
      </c>
    </row>
    <row r="42" spans="1:51" s="500" customFormat="1" ht="12" customHeight="1">
      <c r="A42" s="673"/>
      <c r="B42" s="676"/>
      <c r="C42" s="694"/>
      <c r="D42" s="682"/>
      <c r="E42" s="521"/>
      <c r="F42" s="686"/>
      <c r="G42" s="687"/>
      <c r="H42" s="522" t="s">
        <v>634</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91"/>
      <c r="AO42" s="663"/>
      <c r="AP42" s="667"/>
      <c r="AQ42" s="668"/>
      <c r="AR42" s="663"/>
      <c r="AS42" s="663"/>
      <c r="AT42" s="671"/>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4"/>
      <c r="B43" s="677"/>
      <c r="C43" s="695"/>
      <c r="D43" s="683"/>
      <c r="E43" s="521"/>
      <c r="F43" s="688"/>
      <c r="G43" s="689"/>
      <c r="H43" s="525" t="s">
        <v>635</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92"/>
      <c r="AO43" s="664"/>
      <c r="AP43" s="669"/>
      <c r="AQ43" s="670"/>
      <c r="AR43" s="664"/>
      <c r="AS43" s="664"/>
      <c r="AT43" s="671"/>
      <c r="AU43" s="527"/>
      <c r="AV43" s="527"/>
      <c r="AX43" s="527"/>
      <c r="AY43" s="527"/>
    </row>
    <row r="44" spans="1:51" s="500" customFormat="1" ht="12" customHeight="1">
      <c r="A44" s="672">
        <v>8</v>
      </c>
      <c r="B44" s="675"/>
      <c r="C44" s="693"/>
      <c r="D44" s="681" t="s">
        <v>628</v>
      </c>
      <c r="E44" s="517"/>
      <c r="F44" s="684"/>
      <c r="G44" s="685"/>
      <c r="H44" s="518" t="s">
        <v>629</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90">
        <f t="shared" ref="AN44" si="30">IF(LEFT($AN$1,6)="共同生活援助",SUM(I45:AM45),SUM(I45:AM46))</f>
        <v>0</v>
      </c>
      <c r="AO44" s="662">
        <f>IF($AN$3="４週",AN44/4,AN44/(DAY(EOMONTH($I$21,0))/7))</f>
        <v>0</v>
      </c>
      <c r="AP44" s="665"/>
      <c r="AQ44" s="666"/>
      <c r="AR44" s="662" t="str">
        <f t="shared" ref="AR44" si="31">IF($AN$3="４週",AU45,AV45)</f>
        <v/>
      </c>
      <c r="AS44" s="662"/>
      <c r="AT44" s="671" t="str">
        <f t="shared" ref="AT44" si="32">IF(AX45&lt;=1.1,"",IF(AY45&lt;=1.1,"",IF(F44="","","勤務時間"&amp;CHAR(10)&amp;"OVER")))</f>
        <v/>
      </c>
      <c r="AU44" s="520" t="s">
        <v>630</v>
      </c>
      <c r="AV44" s="520" t="s">
        <v>631</v>
      </c>
      <c r="AX44" s="520" t="s">
        <v>632</v>
      </c>
      <c r="AY44" s="520" t="s">
        <v>633</v>
      </c>
    </row>
    <row r="45" spans="1:51" s="500" customFormat="1" ht="12" customHeight="1">
      <c r="A45" s="673"/>
      <c r="B45" s="676"/>
      <c r="C45" s="694"/>
      <c r="D45" s="682"/>
      <c r="E45" s="521"/>
      <c r="F45" s="686"/>
      <c r="G45" s="687"/>
      <c r="H45" s="522" t="s">
        <v>634</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91"/>
      <c r="AO45" s="663"/>
      <c r="AP45" s="667"/>
      <c r="AQ45" s="668"/>
      <c r="AR45" s="663"/>
      <c r="AS45" s="663"/>
      <c r="AT45" s="671"/>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4"/>
      <c r="B46" s="677"/>
      <c r="C46" s="695"/>
      <c r="D46" s="683"/>
      <c r="E46" s="521"/>
      <c r="F46" s="688"/>
      <c r="G46" s="689"/>
      <c r="H46" s="525" t="s">
        <v>635</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92"/>
      <c r="AO46" s="664"/>
      <c r="AP46" s="669"/>
      <c r="AQ46" s="670"/>
      <c r="AR46" s="664"/>
      <c r="AS46" s="664"/>
      <c r="AT46" s="671"/>
      <c r="AU46" s="527"/>
      <c r="AV46" s="527"/>
      <c r="AX46" s="527"/>
      <c r="AY46" s="527"/>
    </row>
    <row r="47" spans="1:51" s="500" customFormat="1" ht="12" customHeight="1">
      <c r="A47" s="672">
        <v>9</v>
      </c>
      <c r="B47" s="675"/>
      <c r="C47" s="693"/>
      <c r="D47" s="681" t="s">
        <v>628</v>
      </c>
      <c r="E47" s="517"/>
      <c r="F47" s="684"/>
      <c r="G47" s="685"/>
      <c r="H47" s="518" t="s">
        <v>629</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90">
        <f t="shared" ref="AN47" si="35">IF(LEFT($AN$1,6)="共同生活援助",SUM(I48:AM48),SUM(I48:AM49))</f>
        <v>0</v>
      </c>
      <c r="AO47" s="662">
        <f>IF($AN$3="４週",AN47/4,AN47/(DAY(EOMONTH($I$21,0))/7))</f>
        <v>0</v>
      </c>
      <c r="AP47" s="665"/>
      <c r="AQ47" s="666"/>
      <c r="AR47" s="662" t="str">
        <f t="shared" ref="AR47" si="36">IF($AN$3="４週",AU48,AV48)</f>
        <v/>
      </c>
      <c r="AS47" s="662"/>
      <c r="AT47" s="671" t="str">
        <f t="shared" ref="AT47" si="37">IF(AX48&lt;=1.1,"",IF(AY48&lt;=1.1,"",IF(F47="","","勤務時間"&amp;CHAR(10)&amp;"OVER")))</f>
        <v/>
      </c>
      <c r="AU47" s="520" t="s">
        <v>630</v>
      </c>
      <c r="AV47" s="520" t="s">
        <v>631</v>
      </c>
      <c r="AX47" s="520" t="s">
        <v>632</v>
      </c>
      <c r="AY47" s="520" t="s">
        <v>633</v>
      </c>
    </row>
    <row r="48" spans="1:51" s="500" customFormat="1" ht="12" customHeight="1">
      <c r="A48" s="673"/>
      <c r="B48" s="676"/>
      <c r="C48" s="694"/>
      <c r="D48" s="682"/>
      <c r="E48" s="521"/>
      <c r="F48" s="686"/>
      <c r="G48" s="687"/>
      <c r="H48" s="522" t="s">
        <v>634</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91"/>
      <c r="AO48" s="663"/>
      <c r="AP48" s="667"/>
      <c r="AQ48" s="668"/>
      <c r="AR48" s="663"/>
      <c r="AS48" s="663"/>
      <c r="AT48" s="671"/>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4"/>
      <c r="B49" s="677"/>
      <c r="C49" s="695"/>
      <c r="D49" s="683"/>
      <c r="E49" s="521"/>
      <c r="F49" s="688"/>
      <c r="G49" s="689"/>
      <c r="H49" s="525" t="s">
        <v>635</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92"/>
      <c r="AO49" s="664"/>
      <c r="AP49" s="669"/>
      <c r="AQ49" s="670"/>
      <c r="AR49" s="664"/>
      <c r="AS49" s="664"/>
      <c r="AT49" s="671"/>
      <c r="AU49" s="527"/>
      <c r="AV49" s="527"/>
      <c r="AX49" s="527"/>
      <c r="AY49" s="527"/>
    </row>
    <row r="50" spans="1:51" s="500" customFormat="1" ht="12" customHeight="1">
      <c r="A50" s="672">
        <v>10</v>
      </c>
      <c r="B50" s="675"/>
      <c r="C50" s="693"/>
      <c r="D50" s="681" t="s">
        <v>628</v>
      </c>
      <c r="E50" s="517"/>
      <c r="F50" s="684"/>
      <c r="G50" s="685"/>
      <c r="H50" s="518" t="s">
        <v>629</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90">
        <f t="shared" ref="AN50" si="40">IF(LEFT($AN$1,6)="共同生活援助",SUM(I51:AM51),SUM(I51:AM52))</f>
        <v>0</v>
      </c>
      <c r="AO50" s="662">
        <f>IF($AN$3="４週",AN50/4,AN50/(DAY(EOMONTH($I$21,0))/7))</f>
        <v>0</v>
      </c>
      <c r="AP50" s="665"/>
      <c r="AQ50" s="666"/>
      <c r="AR50" s="662" t="str">
        <f t="shared" ref="AR50" si="41">IF($AN$3="４週",AU51,AV51)</f>
        <v/>
      </c>
      <c r="AS50" s="662"/>
      <c r="AT50" s="671" t="str">
        <f t="shared" ref="AT50" si="42">IF(AX51&lt;=1.1,"",IF(AY51&lt;=1.1,"",IF(F50="","","勤務時間"&amp;CHAR(10)&amp;"OVER")))</f>
        <v/>
      </c>
      <c r="AU50" s="520" t="s">
        <v>630</v>
      </c>
      <c r="AV50" s="520" t="s">
        <v>631</v>
      </c>
      <c r="AX50" s="520" t="s">
        <v>632</v>
      </c>
      <c r="AY50" s="520" t="s">
        <v>633</v>
      </c>
    </row>
    <row r="51" spans="1:51" s="500" customFormat="1" ht="12" customHeight="1">
      <c r="A51" s="673"/>
      <c r="B51" s="676"/>
      <c r="C51" s="694"/>
      <c r="D51" s="682"/>
      <c r="E51" s="521"/>
      <c r="F51" s="686"/>
      <c r="G51" s="687"/>
      <c r="H51" s="522" t="s">
        <v>634</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91"/>
      <c r="AO51" s="663"/>
      <c r="AP51" s="667"/>
      <c r="AQ51" s="668"/>
      <c r="AR51" s="663"/>
      <c r="AS51" s="663"/>
      <c r="AT51" s="671"/>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4"/>
      <c r="B52" s="677"/>
      <c r="C52" s="695"/>
      <c r="D52" s="683"/>
      <c r="E52" s="521"/>
      <c r="F52" s="688"/>
      <c r="G52" s="689"/>
      <c r="H52" s="525" t="s">
        <v>635</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92"/>
      <c r="AO52" s="664"/>
      <c r="AP52" s="669"/>
      <c r="AQ52" s="670"/>
      <c r="AR52" s="664"/>
      <c r="AS52" s="664"/>
      <c r="AT52" s="671"/>
      <c r="AU52" s="527"/>
      <c r="AV52" s="527"/>
      <c r="AX52" s="527"/>
      <c r="AY52" s="527"/>
    </row>
    <row r="53" spans="1:51" s="500" customFormat="1" ht="12" customHeight="1">
      <c r="A53" s="672">
        <v>11</v>
      </c>
      <c r="B53" s="675"/>
      <c r="C53" s="693"/>
      <c r="D53" s="681" t="s">
        <v>628</v>
      </c>
      <c r="E53" s="517"/>
      <c r="F53" s="684"/>
      <c r="G53" s="685"/>
      <c r="H53" s="518" t="s">
        <v>629</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90">
        <f t="shared" ref="AN53" si="45">IF(LEFT($AN$1,6)="共同生活援助",SUM(I54:AM54),SUM(I54:AM55))</f>
        <v>0</v>
      </c>
      <c r="AO53" s="662">
        <f>IF($AN$3="４週",AN53/4,AN53/(DAY(EOMONTH($I$21,0))/7))</f>
        <v>0</v>
      </c>
      <c r="AP53" s="665"/>
      <c r="AQ53" s="666"/>
      <c r="AR53" s="662" t="str">
        <f t="shared" ref="AR53" si="46">IF($AN$3="４週",AU54,AV54)</f>
        <v/>
      </c>
      <c r="AS53" s="662"/>
      <c r="AT53" s="671" t="str">
        <f t="shared" ref="AT53" si="47">IF(AX54&lt;=1.1,"",IF(AY54&lt;=1.1,"",IF(F53="","","勤務時間"&amp;CHAR(10)&amp;"OVER")))</f>
        <v/>
      </c>
      <c r="AU53" s="520" t="s">
        <v>630</v>
      </c>
      <c r="AV53" s="520" t="s">
        <v>631</v>
      </c>
      <c r="AX53" s="520" t="s">
        <v>632</v>
      </c>
      <c r="AY53" s="520" t="s">
        <v>633</v>
      </c>
    </row>
    <row r="54" spans="1:51" s="500" customFormat="1" ht="12" customHeight="1">
      <c r="A54" s="673"/>
      <c r="B54" s="676"/>
      <c r="C54" s="694"/>
      <c r="D54" s="682"/>
      <c r="E54" s="521"/>
      <c r="F54" s="686"/>
      <c r="G54" s="687"/>
      <c r="H54" s="522" t="s">
        <v>634</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91"/>
      <c r="AO54" s="663"/>
      <c r="AP54" s="667"/>
      <c r="AQ54" s="668"/>
      <c r="AR54" s="663"/>
      <c r="AS54" s="663"/>
      <c r="AT54" s="671"/>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4"/>
      <c r="B55" s="677"/>
      <c r="C55" s="695"/>
      <c r="D55" s="683"/>
      <c r="E55" s="521"/>
      <c r="F55" s="688"/>
      <c r="G55" s="689"/>
      <c r="H55" s="525" t="s">
        <v>635</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92"/>
      <c r="AO55" s="664"/>
      <c r="AP55" s="669"/>
      <c r="AQ55" s="670"/>
      <c r="AR55" s="664"/>
      <c r="AS55" s="664"/>
      <c r="AT55" s="671"/>
      <c r="AU55" s="527"/>
      <c r="AV55" s="527"/>
      <c r="AX55" s="527"/>
      <c r="AY55" s="527"/>
    </row>
    <row r="56" spans="1:51" s="500" customFormat="1" ht="12" customHeight="1">
      <c r="A56" s="672">
        <v>12</v>
      </c>
      <c r="B56" s="675"/>
      <c r="C56" s="693"/>
      <c r="D56" s="681" t="s">
        <v>628</v>
      </c>
      <c r="E56" s="517"/>
      <c r="F56" s="684"/>
      <c r="G56" s="685"/>
      <c r="H56" s="518" t="s">
        <v>629</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90">
        <f t="shared" ref="AN56" si="50">IF(LEFT($AN$1,6)="共同生活援助",SUM(I57:AM57),SUM(I57:AM58))</f>
        <v>0</v>
      </c>
      <c r="AO56" s="662">
        <f>IF($AN$3="４週",AN56/4,AN56/(DAY(EOMONTH($I$21,0))/7))</f>
        <v>0</v>
      </c>
      <c r="AP56" s="665"/>
      <c r="AQ56" s="666"/>
      <c r="AR56" s="662" t="str">
        <f t="shared" ref="AR56" si="51">IF($AN$3="４週",AU57,AV57)</f>
        <v/>
      </c>
      <c r="AS56" s="662"/>
      <c r="AT56" s="671" t="str">
        <f t="shared" ref="AT56" si="52">IF(AX57&lt;=1.1,"",IF(AY57&lt;=1.1,"",IF(F56="","","勤務時間"&amp;CHAR(10)&amp;"OVER")))</f>
        <v/>
      </c>
      <c r="AU56" s="520" t="s">
        <v>630</v>
      </c>
      <c r="AV56" s="520" t="s">
        <v>631</v>
      </c>
      <c r="AX56" s="520" t="s">
        <v>632</v>
      </c>
      <c r="AY56" s="520" t="s">
        <v>633</v>
      </c>
    </row>
    <row r="57" spans="1:51" s="500" customFormat="1" ht="12" customHeight="1">
      <c r="A57" s="673"/>
      <c r="B57" s="676"/>
      <c r="C57" s="694"/>
      <c r="D57" s="682"/>
      <c r="E57" s="521"/>
      <c r="F57" s="686"/>
      <c r="G57" s="687"/>
      <c r="H57" s="522" t="s">
        <v>634</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91"/>
      <c r="AO57" s="663"/>
      <c r="AP57" s="667"/>
      <c r="AQ57" s="668"/>
      <c r="AR57" s="663"/>
      <c r="AS57" s="663"/>
      <c r="AT57" s="671"/>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4"/>
      <c r="B58" s="677"/>
      <c r="C58" s="695"/>
      <c r="D58" s="683"/>
      <c r="E58" s="521"/>
      <c r="F58" s="688"/>
      <c r="G58" s="689"/>
      <c r="H58" s="525" t="s">
        <v>635</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92"/>
      <c r="AO58" s="664"/>
      <c r="AP58" s="669"/>
      <c r="AQ58" s="670"/>
      <c r="AR58" s="664"/>
      <c r="AS58" s="664"/>
      <c r="AT58" s="671"/>
      <c r="AU58" s="527"/>
      <c r="AV58" s="527"/>
      <c r="AX58" s="527"/>
      <c r="AY58" s="527"/>
    </row>
    <row r="59" spans="1:51" s="500" customFormat="1" ht="12" customHeight="1">
      <c r="A59" s="672">
        <v>13</v>
      </c>
      <c r="B59" s="675"/>
      <c r="C59" s="693"/>
      <c r="D59" s="681" t="s">
        <v>628</v>
      </c>
      <c r="E59" s="517"/>
      <c r="F59" s="684"/>
      <c r="G59" s="685"/>
      <c r="H59" s="518" t="s">
        <v>629</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90">
        <f t="shared" ref="AN59" si="55">IF(LEFT($AN$1,6)="共同生活援助",SUM(I60:AM60),SUM(I60:AM61))</f>
        <v>0</v>
      </c>
      <c r="AO59" s="662">
        <f>IF($AN$3="４週",AN59/4,AN59/(DAY(EOMONTH($I$21,0))/7))</f>
        <v>0</v>
      </c>
      <c r="AP59" s="665"/>
      <c r="AQ59" s="666"/>
      <c r="AR59" s="662" t="str">
        <f t="shared" ref="AR59" si="56">IF($AN$3="４週",AU60,AV60)</f>
        <v/>
      </c>
      <c r="AS59" s="662"/>
      <c r="AT59" s="671" t="str">
        <f t="shared" ref="AT59" si="57">IF(AX60&lt;=1.1,"",IF(AY60&lt;=1.1,"",IF(F59="","","勤務時間"&amp;CHAR(10)&amp;"OVER")))</f>
        <v/>
      </c>
      <c r="AU59" s="520" t="s">
        <v>630</v>
      </c>
      <c r="AV59" s="520" t="s">
        <v>631</v>
      </c>
      <c r="AX59" s="520" t="s">
        <v>632</v>
      </c>
      <c r="AY59" s="520" t="s">
        <v>633</v>
      </c>
    </row>
    <row r="60" spans="1:51" s="500" customFormat="1" ht="12" customHeight="1">
      <c r="A60" s="673"/>
      <c r="B60" s="676"/>
      <c r="C60" s="694"/>
      <c r="D60" s="682"/>
      <c r="E60" s="521"/>
      <c r="F60" s="686"/>
      <c r="G60" s="687"/>
      <c r="H60" s="522" t="s">
        <v>634</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91"/>
      <c r="AO60" s="663"/>
      <c r="AP60" s="667"/>
      <c r="AQ60" s="668"/>
      <c r="AR60" s="663"/>
      <c r="AS60" s="663"/>
      <c r="AT60" s="671"/>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4"/>
      <c r="B61" s="677"/>
      <c r="C61" s="695"/>
      <c r="D61" s="683"/>
      <c r="E61" s="521"/>
      <c r="F61" s="688"/>
      <c r="G61" s="689"/>
      <c r="H61" s="525" t="s">
        <v>635</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92"/>
      <c r="AO61" s="664"/>
      <c r="AP61" s="669"/>
      <c r="AQ61" s="670"/>
      <c r="AR61" s="664"/>
      <c r="AS61" s="664"/>
      <c r="AT61" s="671"/>
      <c r="AU61" s="527"/>
      <c r="AV61" s="527"/>
      <c r="AX61" s="527"/>
      <c r="AY61" s="527"/>
    </row>
    <row r="62" spans="1:51" s="500" customFormat="1" ht="12" customHeight="1">
      <c r="A62" s="672">
        <v>14</v>
      </c>
      <c r="B62" s="675"/>
      <c r="C62" s="693"/>
      <c r="D62" s="681" t="s">
        <v>628</v>
      </c>
      <c r="E62" s="517"/>
      <c r="F62" s="684"/>
      <c r="G62" s="685"/>
      <c r="H62" s="518" t="s">
        <v>629</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90">
        <f t="shared" ref="AN62" si="60">IF(LEFT($AN$1,6)="共同生活援助",SUM(I63:AM63),SUM(I63:AM64))</f>
        <v>0</v>
      </c>
      <c r="AO62" s="662">
        <f>IF($AN$3="４週",AN62/4,AN62/(DAY(EOMONTH($I$21,0))/7))</f>
        <v>0</v>
      </c>
      <c r="AP62" s="665"/>
      <c r="AQ62" s="666"/>
      <c r="AR62" s="662" t="str">
        <f t="shared" ref="AR62" si="61">IF($AN$3="４週",AU63,AV63)</f>
        <v/>
      </c>
      <c r="AS62" s="662"/>
      <c r="AT62" s="671" t="str">
        <f t="shared" ref="AT62" si="62">IF(AX63&lt;=1.1,"",IF(AY63&lt;=1.1,"",IF(F62="","","勤務時間"&amp;CHAR(10)&amp;"OVER")))</f>
        <v/>
      </c>
      <c r="AU62" s="520" t="s">
        <v>630</v>
      </c>
      <c r="AV62" s="520" t="s">
        <v>631</v>
      </c>
      <c r="AX62" s="520" t="s">
        <v>632</v>
      </c>
      <c r="AY62" s="520" t="s">
        <v>633</v>
      </c>
    </row>
    <row r="63" spans="1:51" s="500" customFormat="1" ht="12" customHeight="1">
      <c r="A63" s="673"/>
      <c r="B63" s="676"/>
      <c r="C63" s="694"/>
      <c r="D63" s="682"/>
      <c r="E63" s="521"/>
      <c r="F63" s="686"/>
      <c r="G63" s="687"/>
      <c r="H63" s="522" t="s">
        <v>634</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91"/>
      <c r="AO63" s="663"/>
      <c r="AP63" s="667"/>
      <c r="AQ63" s="668"/>
      <c r="AR63" s="663"/>
      <c r="AS63" s="663"/>
      <c r="AT63" s="671"/>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4"/>
      <c r="B64" s="677"/>
      <c r="C64" s="695"/>
      <c r="D64" s="683"/>
      <c r="E64" s="521"/>
      <c r="F64" s="688"/>
      <c r="G64" s="689"/>
      <c r="H64" s="525" t="s">
        <v>635</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92"/>
      <c r="AO64" s="664"/>
      <c r="AP64" s="669"/>
      <c r="AQ64" s="670"/>
      <c r="AR64" s="664"/>
      <c r="AS64" s="664"/>
      <c r="AT64" s="671"/>
      <c r="AU64" s="527"/>
      <c r="AV64" s="527"/>
      <c r="AX64" s="527"/>
      <c r="AY64" s="527"/>
    </row>
    <row r="65" spans="1:51" s="500" customFormat="1" ht="12" customHeight="1">
      <c r="A65" s="672">
        <v>15</v>
      </c>
      <c r="B65" s="675"/>
      <c r="C65" s="693"/>
      <c r="D65" s="681" t="s">
        <v>628</v>
      </c>
      <c r="E65" s="517"/>
      <c r="F65" s="684"/>
      <c r="G65" s="685"/>
      <c r="H65" s="518" t="s">
        <v>629</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90">
        <f t="shared" ref="AN65" si="65">IF(LEFT($AN$1,6)="共同生活援助",SUM(I66:AM66),SUM(I66:AM67))</f>
        <v>0</v>
      </c>
      <c r="AO65" s="662">
        <f>IF($AN$3="４週",AN65/4,AN65/(DAY(EOMONTH($I$21,0))/7))</f>
        <v>0</v>
      </c>
      <c r="AP65" s="665"/>
      <c r="AQ65" s="666"/>
      <c r="AR65" s="662" t="str">
        <f t="shared" ref="AR65" si="66">IF($AN$3="４週",AU66,AV66)</f>
        <v/>
      </c>
      <c r="AS65" s="662"/>
      <c r="AT65" s="671" t="str">
        <f t="shared" ref="AT65" si="67">IF(AX66&lt;=1.1,"",IF(AY66&lt;=1.1,"",IF(F65="","","勤務時間"&amp;CHAR(10)&amp;"OVER")))</f>
        <v/>
      </c>
      <c r="AU65" s="520" t="s">
        <v>630</v>
      </c>
      <c r="AV65" s="520" t="s">
        <v>631</v>
      </c>
      <c r="AX65" s="520" t="s">
        <v>632</v>
      </c>
      <c r="AY65" s="520" t="s">
        <v>633</v>
      </c>
    </row>
    <row r="66" spans="1:51" s="500" customFormat="1" ht="12" customHeight="1">
      <c r="A66" s="673"/>
      <c r="B66" s="676"/>
      <c r="C66" s="694"/>
      <c r="D66" s="682"/>
      <c r="E66" s="521"/>
      <c r="F66" s="686"/>
      <c r="G66" s="687"/>
      <c r="H66" s="522" t="s">
        <v>634</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91"/>
      <c r="AO66" s="663"/>
      <c r="AP66" s="667"/>
      <c r="AQ66" s="668"/>
      <c r="AR66" s="663"/>
      <c r="AS66" s="663"/>
      <c r="AT66" s="671"/>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4"/>
      <c r="B67" s="677"/>
      <c r="C67" s="695"/>
      <c r="D67" s="683"/>
      <c r="E67" s="521"/>
      <c r="F67" s="688"/>
      <c r="G67" s="689"/>
      <c r="H67" s="525" t="s">
        <v>635</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92"/>
      <c r="AO67" s="664"/>
      <c r="AP67" s="669"/>
      <c r="AQ67" s="670"/>
      <c r="AR67" s="664"/>
      <c r="AS67" s="664"/>
      <c r="AT67" s="671"/>
      <c r="AU67" s="527"/>
      <c r="AV67" s="527"/>
      <c r="AX67" s="527"/>
      <c r="AY67" s="527"/>
    </row>
    <row r="68" spans="1:51" s="500" customFormat="1" ht="12" customHeight="1">
      <c r="A68" s="672">
        <v>16</v>
      </c>
      <c r="B68" s="675"/>
      <c r="C68" s="693"/>
      <c r="D68" s="681" t="s">
        <v>628</v>
      </c>
      <c r="E68" s="517"/>
      <c r="F68" s="684"/>
      <c r="G68" s="685"/>
      <c r="H68" s="518" t="s">
        <v>629</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90">
        <f t="shared" ref="AN68" si="70">IF(LEFT($AN$1,6)="共同生活援助",SUM(I69:AM69),SUM(I69:AM70))</f>
        <v>0</v>
      </c>
      <c r="AO68" s="662">
        <f>IF($AN$3="４週",AN68/4,AN68/(DAY(EOMONTH($I$21,0))/7))</f>
        <v>0</v>
      </c>
      <c r="AP68" s="665"/>
      <c r="AQ68" s="666"/>
      <c r="AR68" s="662" t="str">
        <f t="shared" ref="AR68" si="71">IF($AN$3="４週",AU69,AV69)</f>
        <v/>
      </c>
      <c r="AS68" s="662"/>
      <c r="AT68" s="671" t="str">
        <f t="shared" ref="AT68" si="72">IF(AX69&lt;=1.1,"",IF(AY69&lt;=1.1,"",IF(F68="","","勤務時間"&amp;CHAR(10)&amp;"OVER")))</f>
        <v/>
      </c>
      <c r="AU68" s="520" t="s">
        <v>630</v>
      </c>
      <c r="AV68" s="520" t="s">
        <v>631</v>
      </c>
      <c r="AX68" s="520" t="s">
        <v>632</v>
      </c>
      <c r="AY68" s="520" t="s">
        <v>633</v>
      </c>
    </row>
    <row r="69" spans="1:51" s="500" customFormat="1" ht="12" customHeight="1">
      <c r="A69" s="673"/>
      <c r="B69" s="676"/>
      <c r="C69" s="694"/>
      <c r="D69" s="682"/>
      <c r="E69" s="521"/>
      <c r="F69" s="686"/>
      <c r="G69" s="687"/>
      <c r="H69" s="522" t="s">
        <v>634</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91"/>
      <c r="AO69" s="663"/>
      <c r="AP69" s="667"/>
      <c r="AQ69" s="668"/>
      <c r="AR69" s="663"/>
      <c r="AS69" s="663"/>
      <c r="AT69" s="671"/>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4"/>
      <c r="B70" s="677"/>
      <c r="C70" s="695"/>
      <c r="D70" s="683"/>
      <c r="E70" s="521"/>
      <c r="F70" s="688"/>
      <c r="G70" s="689"/>
      <c r="H70" s="525" t="s">
        <v>635</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92"/>
      <c r="AO70" s="664"/>
      <c r="AP70" s="669"/>
      <c r="AQ70" s="670"/>
      <c r="AR70" s="664"/>
      <c r="AS70" s="664"/>
      <c r="AT70" s="671"/>
      <c r="AU70" s="527"/>
      <c r="AV70" s="527"/>
      <c r="AX70" s="527"/>
      <c r="AY70" s="527"/>
    </row>
    <row r="71" spans="1:51" s="500" customFormat="1" ht="12" customHeight="1">
      <c r="A71" s="672">
        <v>17</v>
      </c>
      <c r="B71" s="675"/>
      <c r="C71" s="678"/>
      <c r="D71" s="681" t="s">
        <v>628</v>
      </c>
      <c r="E71" s="517"/>
      <c r="F71" s="684"/>
      <c r="G71" s="685"/>
      <c r="H71" s="518" t="s">
        <v>629</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90">
        <f t="shared" ref="AN71" si="75">IF(LEFT($AN$1,6)="共同生活援助",SUM(I72:AM72),SUM(I72:AM73))</f>
        <v>0</v>
      </c>
      <c r="AO71" s="662">
        <f>IF($AN$3="４週",AN71/4,AN71/(DAY(EOMONTH($I$21,0))/7))</f>
        <v>0</v>
      </c>
      <c r="AP71" s="665"/>
      <c r="AQ71" s="666"/>
      <c r="AR71" s="662" t="str">
        <f t="shared" ref="AR71" si="76">IF($AN$3="４週",AU72,AV72)</f>
        <v/>
      </c>
      <c r="AS71" s="662"/>
      <c r="AT71" s="671" t="str">
        <f t="shared" ref="AT71" si="77">IF(AX72&lt;=1.1,"",IF(AY72&lt;=1.1,"",IF(F71="","","勤務時間"&amp;CHAR(10)&amp;"OVER")))</f>
        <v/>
      </c>
      <c r="AU71" s="520" t="s">
        <v>630</v>
      </c>
      <c r="AV71" s="520" t="s">
        <v>631</v>
      </c>
      <c r="AX71" s="520" t="s">
        <v>632</v>
      </c>
      <c r="AY71" s="520" t="s">
        <v>633</v>
      </c>
    </row>
    <row r="72" spans="1:51" s="500" customFormat="1" ht="12" customHeight="1">
      <c r="A72" s="673"/>
      <c r="B72" s="676"/>
      <c r="C72" s="679"/>
      <c r="D72" s="682"/>
      <c r="E72" s="521"/>
      <c r="F72" s="686"/>
      <c r="G72" s="687"/>
      <c r="H72" s="522" t="s">
        <v>634</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91"/>
      <c r="AO72" s="663"/>
      <c r="AP72" s="667"/>
      <c r="AQ72" s="668"/>
      <c r="AR72" s="663"/>
      <c r="AS72" s="663"/>
      <c r="AT72" s="671"/>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4"/>
      <c r="B73" s="677"/>
      <c r="C73" s="680"/>
      <c r="D73" s="683"/>
      <c r="E73" s="521"/>
      <c r="F73" s="688"/>
      <c r="G73" s="689"/>
      <c r="H73" s="525" t="s">
        <v>635</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92"/>
      <c r="AO73" s="664"/>
      <c r="AP73" s="669"/>
      <c r="AQ73" s="670"/>
      <c r="AR73" s="664"/>
      <c r="AS73" s="664"/>
      <c r="AT73" s="671"/>
      <c r="AU73" s="527"/>
      <c r="AV73" s="527"/>
      <c r="AX73" s="527"/>
      <c r="AY73" s="527"/>
    </row>
    <row r="74" spans="1:51" s="500" customFormat="1" ht="12" customHeight="1">
      <c r="A74" s="672">
        <v>18</v>
      </c>
      <c r="B74" s="675"/>
      <c r="C74" s="693"/>
      <c r="D74" s="681" t="s">
        <v>628</v>
      </c>
      <c r="E74" s="517"/>
      <c r="F74" s="684"/>
      <c r="G74" s="685"/>
      <c r="H74" s="518" t="s">
        <v>629</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90">
        <f t="shared" ref="AN74" si="80">IF(LEFT($AN$1,6)="共同生活援助",SUM(I75:AM75),SUM(I75:AM76))</f>
        <v>0</v>
      </c>
      <c r="AO74" s="662">
        <f>IF($AN$3="４週",AN74/4,AN74/(DAY(EOMONTH($I$21,0))/7))</f>
        <v>0</v>
      </c>
      <c r="AP74" s="665"/>
      <c r="AQ74" s="666"/>
      <c r="AR74" s="662" t="str">
        <f t="shared" ref="AR74" si="81">IF($AN$3="４週",AU75,AV75)</f>
        <v/>
      </c>
      <c r="AS74" s="662"/>
      <c r="AT74" s="671" t="str">
        <f t="shared" ref="AT74" si="82">IF(AX75&lt;=1.1,"",IF(AY75&lt;=1.1,"",IF(F74="","","勤務時間"&amp;CHAR(10)&amp;"OVER")))</f>
        <v/>
      </c>
      <c r="AU74" s="520" t="s">
        <v>630</v>
      </c>
      <c r="AV74" s="520" t="s">
        <v>631</v>
      </c>
      <c r="AX74" s="520" t="s">
        <v>632</v>
      </c>
      <c r="AY74" s="520" t="s">
        <v>633</v>
      </c>
    </row>
    <row r="75" spans="1:51" s="500" customFormat="1" ht="12" customHeight="1">
      <c r="A75" s="673"/>
      <c r="B75" s="676"/>
      <c r="C75" s="694"/>
      <c r="D75" s="682"/>
      <c r="E75" s="521"/>
      <c r="F75" s="686"/>
      <c r="G75" s="687"/>
      <c r="H75" s="522" t="s">
        <v>634</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91"/>
      <c r="AO75" s="663"/>
      <c r="AP75" s="667"/>
      <c r="AQ75" s="668"/>
      <c r="AR75" s="663"/>
      <c r="AS75" s="663"/>
      <c r="AT75" s="671"/>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4"/>
      <c r="B76" s="677"/>
      <c r="C76" s="695"/>
      <c r="D76" s="683"/>
      <c r="E76" s="521"/>
      <c r="F76" s="688"/>
      <c r="G76" s="689"/>
      <c r="H76" s="525" t="s">
        <v>635</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92"/>
      <c r="AO76" s="664"/>
      <c r="AP76" s="669"/>
      <c r="AQ76" s="670"/>
      <c r="AR76" s="664"/>
      <c r="AS76" s="664"/>
      <c r="AT76" s="671"/>
      <c r="AU76" s="527"/>
      <c r="AV76" s="527"/>
      <c r="AX76" s="527"/>
      <c r="AY76" s="527"/>
    </row>
    <row r="77" spans="1:51" s="500" customFormat="1" ht="12" customHeight="1">
      <c r="A77" s="672">
        <v>19</v>
      </c>
      <c r="B77" s="675"/>
      <c r="C77" s="693"/>
      <c r="D77" s="681" t="s">
        <v>628</v>
      </c>
      <c r="E77" s="517"/>
      <c r="F77" s="684"/>
      <c r="G77" s="685"/>
      <c r="H77" s="518" t="s">
        <v>629</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90">
        <f t="shared" ref="AN77" si="85">IF(LEFT($AN$1,6)="共同生活援助",SUM(I78:AM78),SUM(I78:AM79))</f>
        <v>0</v>
      </c>
      <c r="AO77" s="662">
        <f>IF($AN$3="４週",AN77/4,AN77/(DAY(EOMONTH($I$21,0))/7))</f>
        <v>0</v>
      </c>
      <c r="AP77" s="665"/>
      <c r="AQ77" s="666"/>
      <c r="AR77" s="662" t="str">
        <f t="shared" ref="AR77" si="86">IF($AN$3="４週",AU78,AV78)</f>
        <v/>
      </c>
      <c r="AS77" s="662"/>
      <c r="AT77" s="671" t="str">
        <f t="shared" ref="AT77" si="87">IF(AX78&lt;=1.1,"",IF(AY78&lt;=1.1,"",IF(F77="","","勤務時間"&amp;CHAR(10)&amp;"OVER")))</f>
        <v/>
      </c>
      <c r="AU77" s="520" t="s">
        <v>630</v>
      </c>
      <c r="AV77" s="520" t="s">
        <v>631</v>
      </c>
      <c r="AX77" s="520" t="s">
        <v>632</v>
      </c>
      <c r="AY77" s="520" t="s">
        <v>633</v>
      </c>
    </row>
    <row r="78" spans="1:51" s="500" customFormat="1" ht="12" customHeight="1">
      <c r="A78" s="673"/>
      <c r="B78" s="676"/>
      <c r="C78" s="694"/>
      <c r="D78" s="682"/>
      <c r="E78" s="521"/>
      <c r="F78" s="686"/>
      <c r="G78" s="687"/>
      <c r="H78" s="522" t="s">
        <v>634</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91"/>
      <c r="AO78" s="663"/>
      <c r="AP78" s="667"/>
      <c r="AQ78" s="668"/>
      <c r="AR78" s="663"/>
      <c r="AS78" s="663"/>
      <c r="AT78" s="671"/>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4"/>
      <c r="B79" s="677"/>
      <c r="C79" s="695"/>
      <c r="D79" s="683"/>
      <c r="E79" s="521"/>
      <c r="F79" s="688"/>
      <c r="G79" s="689"/>
      <c r="H79" s="525" t="s">
        <v>635</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92"/>
      <c r="AO79" s="664"/>
      <c r="AP79" s="669"/>
      <c r="AQ79" s="670"/>
      <c r="AR79" s="664"/>
      <c r="AS79" s="664"/>
      <c r="AT79" s="671"/>
      <c r="AU79" s="527"/>
      <c r="AV79" s="527"/>
      <c r="AX79" s="527"/>
      <c r="AY79" s="527"/>
    </row>
    <row r="80" spans="1:51" s="500" customFormat="1" ht="12" customHeight="1">
      <c r="A80" s="672">
        <v>20</v>
      </c>
      <c r="B80" s="675"/>
      <c r="C80" s="693"/>
      <c r="D80" s="681" t="s">
        <v>628</v>
      </c>
      <c r="E80" s="517"/>
      <c r="F80" s="684"/>
      <c r="G80" s="685"/>
      <c r="H80" s="518" t="s">
        <v>629</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90">
        <f t="shared" ref="AN80" si="90">IF(LEFT($AN$1,6)="共同生活援助",SUM(I81:AM81),SUM(I81:AM82))</f>
        <v>0</v>
      </c>
      <c r="AO80" s="662">
        <f>IF($AN$3="４週",AN80/4,AN80/(DAY(EOMONTH($I$21,0))/7))</f>
        <v>0</v>
      </c>
      <c r="AP80" s="665"/>
      <c r="AQ80" s="666"/>
      <c r="AR80" s="662" t="str">
        <f t="shared" ref="AR80" si="91">IF($AN$3="４週",AU81,AV81)</f>
        <v/>
      </c>
      <c r="AS80" s="662"/>
      <c r="AT80" s="671" t="str">
        <f t="shared" ref="AT80" si="92">IF(AX81&lt;=1.1,"",IF(AY81&lt;=1.1,"",IF(F80="","","勤務時間"&amp;CHAR(10)&amp;"OVER")))</f>
        <v/>
      </c>
      <c r="AU80" s="520" t="s">
        <v>630</v>
      </c>
      <c r="AV80" s="520" t="s">
        <v>631</v>
      </c>
      <c r="AX80" s="520" t="s">
        <v>632</v>
      </c>
      <c r="AY80" s="520" t="s">
        <v>633</v>
      </c>
    </row>
    <row r="81" spans="1:51" s="500" customFormat="1" ht="12" customHeight="1">
      <c r="A81" s="673"/>
      <c r="B81" s="676"/>
      <c r="C81" s="694"/>
      <c r="D81" s="682"/>
      <c r="E81" s="521"/>
      <c r="F81" s="686"/>
      <c r="G81" s="687"/>
      <c r="H81" s="522" t="s">
        <v>634</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91"/>
      <c r="AO81" s="663"/>
      <c r="AP81" s="667"/>
      <c r="AQ81" s="668"/>
      <c r="AR81" s="663"/>
      <c r="AS81" s="663"/>
      <c r="AT81" s="671"/>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4"/>
      <c r="B82" s="677"/>
      <c r="C82" s="695"/>
      <c r="D82" s="683"/>
      <c r="E82" s="521"/>
      <c r="F82" s="688"/>
      <c r="G82" s="689"/>
      <c r="H82" s="525" t="s">
        <v>635</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92"/>
      <c r="AO82" s="664"/>
      <c r="AP82" s="669"/>
      <c r="AQ82" s="670"/>
      <c r="AR82" s="664"/>
      <c r="AS82" s="664"/>
      <c r="AT82" s="671"/>
      <c r="AU82" s="527"/>
      <c r="AV82" s="527"/>
      <c r="AX82" s="527"/>
      <c r="AY82" s="527"/>
    </row>
    <row r="83" spans="1:51" s="500" customFormat="1" ht="12" customHeight="1">
      <c r="A83" s="672">
        <v>21</v>
      </c>
      <c r="B83" s="675"/>
      <c r="C83" s="693"/>
      <c r="D83" s="681" t="s">
        <v>628</v>
      </c>
      <c r="E83" s="517"/>
      <c r="F83" s="684"/>
      <c r="G83" s="685"/>
      <c r="H83" s="518" t="s">
        <v>629</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90">
        <f t="shared" ref="AN83" si="95">IF(LEFT($AN$1,6)="共同生活援助",SUM(I84:AM84),SUM(I84:AM85))</f>
        <v>0</v>
      </c>
      <c r="AO83" s="662">
        <f>IF($AN$3="４週",AN83/4,AN83/(DAY(EOMONTH($I$21,0))/7))</f>
        <v>0</v>
      </c>
      <c r="AP83" s="665"/>
      <c r="AQ83" s="666"/>
      <c r="AR83" s="662" t="str">
        <f t="shared" ref="AR83" si="96">IF($AN$3="４週",AU84,AV84)</f>
        <v/>
      </c>
      <c r="AS83" s="662"/>
      <c r="AT83" s="671" t="str">
        <f t="shared" ref="AT83" si="97">IF(AX84&lt;=1.1,"",IF(AY84&lt;=1.1,"",IF(F83="","","勤務時間"&amp;CHAR(10)&amp;"OVER")))</f>
        <v/>
      </c>
      <c r="AU83" s="520" t="s">
        <v>630</v>
      </c>
      <c r="AV83" s="520" t="s">
        <v>631</v>
      </c>
      <c r="AX83" s="520" t="s">
        <v>632</v>
      </c>
      <c r="AY83" s="520" t="s">
        <v>633</v>
      </c>
    </row>
    <row r="84" spans="1:51" s="500" customFormat="1" ht="12" customHeight="1">
      <c r="A84" s="673"/>
      <c r="B84" s="676"/>
      <c r="C84" s="694"/>
      <c r="D84" s="682"/>
      <c r="E84" s="521"/>
      <c r="F84" s="686"/>
      <c r="G84" s="687"/>
      <c r="H84" s="522" t="s">
        <v>634</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91"/>
      <c r="AO84" s="663"/>
      <c r="AP84" s="667"/>
      <c r="AQ84" s="668"/>
      <c r="AR84" s="663"/>
      <c r="AS84" s="663"/>
      <c r="AT84" s="671"/>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4"/>
      <c r="B85" s="677"/>
      <c r="C85" s="695"/>
      <c r="D85" s="683"/>
      <c r="E85" s="521"/>
      <c r="F85" s="688"/>
      <c r="G85" s="689"/>
      <c r="H85" s="525" t="s">
        <v>635</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92"/>
      <c r="AO85" s="664"/>
      <c r="AP85" s="669"/>
      <c r="AQ85" s="670"/>
      <c r="AR85" s="664"/>
      <c r="AS85" s="664"/>
      <c r="AT85" s="671"/>
      <c r="AU85" s="527"/>
      <c r="AV85" s="527"/>
      <c r="AX85" s="527"/>
      <c r="AY85" s="527"/>
    </row>
    <row r="86" spans="1:51" s="500" customFormat="1" ht="12" customHeight="1">
      <c r="A86" s="672">
        <v>22</v>
      </c>
      <c r="B86" s="675"/>
      <c r="C86" s="693"/>
      <c r="D86" s="681" t="s">
        <v>628</v>
      </c>
      <c r="E86" s="517"/>
      <c r="F86" s="684"/>
      <c r="G86" s="685"/>
      <c r="H86" s="518" t="s">
        <v>629</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90">
        <f t="shared" ref="AN86" si="98">IF(LEFT($AN$1,6)="共同生活援助",SUM(I87:AM87),SUM(I87:AM88))</f>
        <v>0</v>
      </c>
      <c r="AO86" s="662">
        <f>IF($AN$3="４週",AN86/4,AN86/(DAY(EOMONTH($I$21,0))/7))</f>
        <v>0</v>
      </c>
      <c r="AP86" s="665"/>
      <c r="AQ86" s="666"/>
      <c r="AR86" s="662" t="str">
        <f t="shared" ref="AR86" si="99">IF($AN$3="４週",AU87,AV87)</f>
        <v/>
      </c>
      <c r="AS86" s="662"/>
      <c r="AT86" s="671" t="str">
        <f t="shared" ref="AT86" si="100">IF(AX87&lt;=1.1,"",IF(AY87&lt;=1.1,"",IF(F86="","","勤務時間"&amp;CHAR(10)&amp;"OVER")))</f>
        <v/>
      </c>
      <c r="AU86" s="520" t="s">
        <v>630</v>
      </c>
      <c r="AV86" s="520" t="s">
        <v>631</v>
      </c>
      <c r="AX86" s="520" t="s">
        <v>632</v>
      </c>
      <c r="AY86" s="520" t="s">
        <v>633</v>
      </c>
    </row>
    <row r="87" spans="1:51" s="500" customFormat="1" ht="12" customHeight="1">
      <c r="A87" s="673"/>
      <c r="B87" s="676"/>
      <c r="C87" s="694"/>
      <c r="D87" s="682"/>
      <c r="E87" s="521"/>
      <c r="F87" s="686"/>
      <c r="G87" s="687"/>
      <c r="H87" s="522" t="s">
        <v>634</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91"/>
      <c r="AO87" s="663"/>
      <c r="AP87" s="667"/>
      <c r="AQ87" s="668"/>
      <c r="AR87" s="663"/>
      <c r="AS87" s="663"/>
      <c r="AT87" s="671"/>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4"/>
      <c r="B88" s="677"/>
      <c r="C88" s="695"/>
      <c r="D88" s="683"/>
      <c r="E88" s="521"/>
      <c r="F88" s="688"/>
      <c r="G88" s="689"/>
      <c r="H88" s="525" t="s">
        <v>635</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92"/>
      <c r="AO88" s="664"/>
      <c r="AP88" s="669"/>
      <c r="AQ88" s="670"/>
      <c r="AR88" s="664"/>
      <c r="AS88" s="664"/>
      <c r="AT88" s="671"/>
      <c r="AU88" s="527"/>
      <c r="AV88" s="527"/>
      <c r="AX88" s="527"/>
      <c r="AY88" s="527"/>
    </row>
    <row r="89" spans="1:51" s="500" customFormat="1" ht="12" customHeight="1">
      <c r="A89" s="672">
        <v>23</v>
      </c>
      <c r="B89" s="675"/>
      <c r="C89" s="693"/>
      <c r="D89" s="681" t="s">
        <v>628</v>
      </c>
      <c r="E89" s="517"/>
      <c r="F89" s="684"/>
      <c r="G89" s="685"/>
      <c r="H89" s="518" t="s">
        <v>629</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90">
        <f t="shared" ref="AN89" si="103">IF(LEFT($AN$1,6)="共同生活援助",SUM(I90:AM90),SUM(I90:AM91))</f>
        <v>0</v>
      </c>
      <c r="AO89" s="662">
        <f>IF($AN$3="４週",AN89/4,AN89/(DAY(EOMONTH($I$21,0))/7))</f>
        <v>0</v>
      </c>
      <c r="AP89" s="665"/>
      <c r="AQ89" s="666"/>
      <c r="AR89" s="662" t="str">
        <f t="shared" ref="AR89" si="104">IF($AN$3="４週",AU90,AV90)</f>
        <v/>
      </c>
      <c r="AS89" s="662"/>
      <c r="AT89" s="671" t="str">
        <f t="shared" ref="AT89" si="105">IF(AX90&lt;=1.1,"",IF(AY90&lt;=1.1,"",IF(F89="","","勤務時間"&amp;CHAR(10)&amp;"OVER")))</f>
        <v/>
      </c>
      <c r="AU89" s="520" t="s">
        <v>630</v>
      </c>
      <c r="AV89" s="520" t="s">
        <v>631</v>
      </c>
      <c r="AX89" s="520" t="s">
        <v>632</v>
      </c>
      <c r="AY89" s="520" t="s">
        <v>633</v>
      </c>
    </row>
    <row r="90" spans="1:51" s="500" customFormat="1" ht="12" customHeight="1">
      <c r="A90" s="673"/>
      <c r="B90" s="676"/>
      <c r="C90" s="694"/>
      <c r="D90" s="682"/>
      <c r="E90" s="521"/>
      <c r="F90" s="686"/>
      <c r="G90" s="687"/>
      <c r="H90" s="522" t="s">
        <v>634</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91"/>
      <c r="AO90" s="663"/>
      <c r="AP90" s="667"/>
      <c r="AQ90" s="668"/>
      <c r="AR90" s="663"/>
      <c r="AS90" s="663"/>
      <c r="AT90" s="671"/>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4"/>
      <c r="B91" s="677"/>
      <c r="C91" s="695"/>
      <c r="D91" s="683"/>
      <c r="E91" s="521"/>
      <c r="F91" s="688"/>
      <c r="G91" s="689"/>
      <c r="H91" s="525" t="s">
        <v>635</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92"/>
      <c r="AO91" s="664"/>
      <c r="AP91" s="669"/>
      <c r="AQ91" s="670"/>
      <c r="AR91" s="664"/>
      <c r="AS91" s="664"/>
      <c r="AT91" s="671"/>
      <c r="AU91" s="527"/>
      <c r="AV91" s="527"/>
      <c r="AX91" s="527"/>
      <c r="AY91" s="527"/>
    </row>
    <row r="92" spans="1:51" s="500" customFormat="1" ht="12" customHeight="1">
      <c r="A92" s="672">
        <v>24</v>
      </c>
      <c r="B92" s="675"/>
      <c r="C92" s="693"/>
      <c r="D92" s="681" t="s">
        <v>628</v>
      </c>
      <c r="E92" s="517"/>
      <c r="F92" s="684"/>
      <c r="G92" s="685"/>
      <c r="H92" s="518" t="s">
        <v>629</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90">
        <f t="shared" ref="AN92" si="108">IF(LEFT($AN$1,6)="共同生活援助",SUM(I93:AM93),SUM(I93:AM94))</f>
        <v>0</v>
      </c>
      <c r="AO92" s="662">
        <f>IF($AN$3="４週",AN92/4,AN92/(DAY(EOMONTH($I$21,0))/7))</f>
        <v>0</v>
      </c>
      <c r="AP92" s="665"/>
      <c r="AQ92" s="666"/>
      <c r="AR92" s="662" t="str">
        <f t="shared" ref="AR92" si="109">IF($AN$3="４週",AU93,AV93)</f>
        <v/>
      </c>
      <c r="AS92" s="662"/>
      <c r="AT92" s="671" t="str">
        <f t="shared" ref="AT92" si="110">IF(AX93&lt;=1.1,"",IF(AY93&lt;=1.1,"",IF(F92="","","勤務時間"&amp;CHAR(10)&amp;"OVER")))</f>
        <v/>
      </c>
      <c r="AU92" s="520" t="s">
        <v>630</v>
      </c>
      <c r="AV92" s="520" t="s">
        <v>631</v>
      </c>
      <c r="AX92" s="520" t="s">
        <v>632</v>
      </c>
      <c r="AY92" s="520" t="s">
        <v>633</v>
      </c>
    </row>
    <row r="93" spans="1:51" s="500" customFormat="1" ht="12" customHeight="1">
      <c r="A93" s="673"/>
      <c r="B93" s="676"/>
      <c r="C93" s="694"/>
      <c r="D93" s="682"/>
      <c r="E93" s="521"/>
      <c r="F93" s="686"/>
      <c r="G93" s="687"/>
      <c r="H93" s="522" t="s">
        <v>634</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91"/>
      <c r="AO93" s="663"/>
      <c r="AP93" s="667"/>
      <c r="AQ93" s="668"/>
      <c r="AR93" s="663"/>
      <c r="AS93" s="663"/>
      <c r="AT93" s="671"/>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4"/>
      <c r="B94" s="677"/>
      <c r="C94" s="695"/>
      <c r="D94" s="683"/>
      <c r="E94" s="521"/>
      <c r="F94" s="688"/>
      <c r="G94" s="689"/>
      <c r="H94" s="525" t="s">
        <v>635</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92"/>
      <c r="AO94" s="664"/>
      <c r="AP94" s="669"/>
      <c r="AQ94" s="670"/>
      <c r="AR94" s="664"/>
      <c r="AS94" s="664"/>
      <c r="AT94" s="671"/>
      <c r="AU94" s="527"/>
      <c r="AV94" s="527"/>
      <c r="AX94" s="527"/>
      <c r="AY94" s="527"/>
    </row>
    <row r="95" spans="1:51" s="500" customFormat="1" ht="12" customHeight="1">
      <c r="A95" s="672">
        <v>25</v>
      </c>
      <c r="B95" s="675"/>
      <c r="C95" s="693"/>
      <c r="D95" s="681" t="s">
        <v>628</v>
      </c>
      <c r="E95" s="517"/>
      <c r="F95" s="684"/>
      <c r="G95" s="685"/>
      <c r="H95" s="518" t="s">
        <v>629</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90">
        <f t="shared" ref="AN95" si="113">IF(LEFT($AN$1,6)="共同生活援助",SUM(I96:AM96),SUM(I96:AM97))</f>
        <v>0</v>
      </c>
      <c r="AO95" s="662">
        <f>IF($AN$3="４週",AN95/4,AN95/(DAY(EOMONTH($I$21,0))/7))</f>
        <v>0</v>
      </c>
      <c r="AP95" s="665"/>
      <c r="AQ95" s="666"/>
      <c r="AR95" s="662" t="str">
        <f t="shared" ref="AR95" si="114">IF($AN$3="４週",AU96,AV96)</f>
        <v/>
      </c>
      <c r="AS95" s="662"/>
      <c r="AT95" s="671" t="str">
        <f t="shared" ref="AT95" si="115">IF(AX96&lt;=1.1,"",IF(AY96&lt;=1.1,"",IF(F95="","","勤務時間"&amp;CHAR(10)&amp;"OVER")))</f>
        <v/>
      </c>
      <c r="AU95" s="520" t="s">
        <v>630</v>
      </c>
      <c r="AV95" s="520" t="s">
        <v>631</v>
      </c>
      <c r="AX95" s="520" t="s">
        <v>632</v>
      </c>
      <c r="AY95" s="520" t="s">
        <v>633</v>
      </c>
    </row>
    <row r="96" spans="1:51" s="500" customFormat="1" ht="12" customHeight="1">
      <c r="A96" s="673"/>
      <c r="B96" s="676"/>
      <c r="C96" s="694"/>
      <c r="D96" s="682"/>
      <c r="E96" s="521"/>
      <c r="F96" s="686"/>
      <c r="G96" s="687"/>
      <c r="H96" s="522" t="s">
        <v>634</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91"/>
      <c r="AO96" s="663"/>
      <c r="AP96" s="667"/>
      <c r="AQ96" s="668"/>
      <c r="AR96" s="663"/>
      <c r="AS96" s="663"/>
      <c r="AT96" s="671"/>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4"/>
      <c r="B97" s="677"/>
      <c r="C97" s="695"/>
      <c r="D97" s="683"/>
      <c r="E97" s="521"/>
      <c r="F97" s="688"/>
      <c r="G97" s="689"/>
      <c r="H97" s="525" t="s">
        <v>635</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92"/>
      <c r="AO97" s="664"/>
      <c r="AP97" s="669"/>
      <c r="AQ97" s="670"/>
      <c r="AR97" s="664"/>
      <c r="AS97" s="664"/>
      <c r="AT97" s="671"/>
      <c r="AU97" s="527"/>
      <c r="AV97" s="527"/>
      <c r="AX97" s="527"/>
      <c r="AY97" s="527"/>
    </row>
    <row r="98" spans="1:51" s="500" customFormat="1" ht="12" customHeight="1">
      <c r="A98" s="672">
        <v>26</v>
      </c>
      <c r="B98" s="675"/>
      <c r="C98" s="693"/>
      <c r="D98" s="681" t="s">
        <v>628</v>
      </c>
      <c r="E98" s="517"/>
      <c r="F98" s="684"/>
      <c r="G98" s="685"/>
      <c r="H98" s="518" t="s">
        <v>629</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90">
        <f t="shared" ref="AN98" si="118">IF(LEFT($AN$1,6)="共同生活援助",SUM(I99:AM99),SUM(I99:AM100))</f>
        <v>0</v>
      </c>
      <c r="AO98" s="662">
        <f>IF($AN$3="４週",AN98/4,AN98/(DAY(EOMONTH($I$21,0))/7))</f>
        <v>0</v>
      </c>
      <c r="AP98" s="665"/>
      <c r="AQ98" s="666"/>
      <c r="AR98" s="662" t="str">
        <f t="shared" ref="AR98" si="119">IF($AN$3="４週",AU99,AV99)</f>
        <v/>
      </c>
      <c r="AS98" s="662"/>
      <c r="AT98" s="671" t="str">
        <f t="shared" ref="AT98" si="120">IF(AX99&lt;=1.1,"",IF(AY99&lt;=1.1,"",IF(F98="","","勤務時間"&amp;CHAR(10)&amp;"OVER")))</f>
        <v/>
      </c>
      <c r="AU98" s="520" t="s">
        <v>630</v>
      </c>
      <c r="AV98" s="520" t="s">
        <v>631</v>
      </c>
      <c r="AX98" s="520" t="s">
        <v>632</v>
      </c>
      <c r="AY98" s="520" t="s">
        <v>633</v>
      </c>
    </row>
    <row r="99" spans="1:51" s="500" customFormat="1" ht="12" customHeight="1">
      <c r="A99" s="673"/>
      <c r="B99" s="676"/>
      <c r="C99" s="694"/>
      <c r="D99" s="682"/>
      <c r="E99" s="521"/>
      <c r="F99" s="686"/>
      <c r="G99" s="687"/>
      <c r="H99" s="522" t="s">
        <v>634</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91"/>
      <c r="AO99" s="663"/>
      <c r="AP99" s="667"/>
      <c r="AQ99" s="668"/>
      <c r="AR99" s="663"/>
      <c r="AS99" s="663"/>
      <c r="AT99" s="671"/>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4"/>
      <c r="B100" s="677"/>
      <c r="C100" s="695"/>
      <c r="D100" s="683"/>
      <c r="E100" s="521"/>
      <c r="F100" s="688"/>
      <c r="G100" s="689"/>
      <c r="H100" s="525" t="s">
        <v>635</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92"/>
      <c r="AO100" s="664"/>
      <c r="AP100" s="669"/>
      <c r="AQ100" s="670"/>
      <c r="AR100" s="664"/>
      <c r="AS100" s="664"/>
      <c r="AT100" s="671"/>
      <c r="AU100" s="527"/>
      <c r="AV100" s="527"/>
      <c r="AX100" s="527"/>
      <c r="AY100" s="527"/>
    </row>
    <row r="101" spans="1:51" s="500" customFormat="1" ht="12" customHeight="1">
      <c r="A101" s="672">
        <v>27</v>
      </c>
      <c r="B101" s="675"/>
      <c r="C101" s="693"/>
      <c r="D101" s="681" t="s">
        <v>628</v>
      </c>
      <c r="E101" s="517"/>
      <c r="F101" s="684"/>
      <c r="G101" s="685"/>
      <c r="H101" s="518" t="s">
        <v>629</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90">
        <f t="shared" ref="AN101" si="123">IF(LEFT($AN$1,6)="共同生活援助",SUM(I102:AM102),SUM(I102:AM103))</f>
        <v>0</v>
      </c>
      <c r="AO101" s="662">
        <f>IF($AN$3="４週",AN101/4,AN101/(DAY(EOMONTH($I$21,0))/7))</f>
        <v>0</v>
      </c>
      <c r="AP101" s="665"/>
      <c r="AQ101" s="666"/>
      <c r="AR101" s="662" t="str">
        <f t="shared" ref="AR101" si="124">IF($AN$3="４週",AU102,AV102)</f>
        <v/>
      </c>
      <c r="AS101" s="662"/>
      <c r="AT101" s="671" t="str">
        <f t="shared" ref="AT101" si="125">IF(AX102&lt;=1.1,"",IF(AY102&lt;=1.1,"",IF(F101="","","勤務時間"&amp;CHAR(10)&amp;"OVER")))</f>
        <v/>
      </c>
      <c r="AU101" s="520" t="s">
        <v>630</v>
      </c>
      <c r="AV101" s="520" t="s">
        <v>631</v>
      </c>
      <c r="AX101" s="520" t="s">
        <v>632</v>
      </c>
      <c r="AY101" s="520" t="s">
        <v>633</v>
      </c>
    </row>
    <row r="102" spans="1:51" s="500" customFormat="1" ht="12" customHeight="1">
      <c r="A102" s="673"/>
      <c r="B102" s="676"/>
      <c r="C102" s="694"/>
      <c r="D102" s="682"/>
      <c r="E102" s="521"/>
      <c r="F102" s="686"/>
      <c r="G102" s="687"/>
      <c r="H102" s="522" t="s">
        <v>634</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91"/>
      <c r="AO102" s="663"/>
      <c r="AP102" s="667"/>
      <c r="AQ102" s="668"/>
      <c r="AR102" s="663"/>
      <c r="AS102" s="663"/>
      <c r="AT102" s="671"/>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4"/>
      <c r="B103" s="677"/>
      <c r="C103" s="695"/>
      <c r="D103" s="683"/>
      <c r="E103" s="521"/>
      <c r="F103" s="688"/>
      <c r="G103" s="689"/>
      <c r="H103" s="525" t="s">
        <v>635</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92"/>
      <c r="AO103" s="664"/>
      <c r="AP103" s="669"/>
      <c r="AQ103" s="670"/>
      <c r="AR103" s="664"/>
      <c r="AS103" s="664"/>
      <c r="AT103" s="671"/>
      <c r="AU103" s="527"/>
      <c r="AV103" s="527"/>
      <c r="AX103" s="527"/>
      <c r="AY103" s="527"/>
    </row>
    <row r="104" spans="1:51" s="500" customFormat="1" ht="12" customHeight="1">
      <c r="A104" s="672">
        <v>28</v>
      </c>
      <c r="B104" s="675"/>
      <c r="C104" s="693"/>
      <c r="D104" s="681" t="s">
        <v>628</v>
      </c>
      <c r="E104" s="517"/>
      <c r="F104" s="684"/>
      <c r="G104" s="685"/>
      <c r="H104" s="518" t="s">
        <v>629</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90">
        <f t="shared" ref="AN104" si="128">IF(LEFT($AN$1,6)="共同生活援助",SUM(I105:AM105),SUM(I105:AM106))</f>
        <v>0</v>
      </c>
      <c r="AO104" s="662">
        <f>IF($AN$3="４週",AN104/4,AN104/(DAY(EOMONTH($I$21,0))/7))</f>
        <v>0</v>
      </c>
      <c r="AP104" s="665"/>
      <c r="AQ104" s="666"/>
      <c r="AR104" s="662" t="str">
        <f t="shared" ref="AR104" si="129">IF($AN$3="４週",AU105,AV105)</f>
        <v/>
      </c>
      <c r="AS104" s="662"/>
      <c r="AT104" s="671" t="str">
        <f t="shared" ref="AT104" si="130">IF(AX105&lt;=1.1,"",IF(AY105&lt;=1.1,"",IF(F104="","","勤務時間"&amp;CHAR(10)&amp;"OVER")))</f>
        <v/>
      </c>
      <c r="AU104" s="520" t="s">
        <v>630</v>
      </c>
      <c r="AV104" s="520" t="s">
        <v>631</v>
      </c>
      <c r="AX104" s="520" t="s">
        <v>632</v>
      </c>
      <c r="AY104" s="520" t="s">
        <v>633</v>
      </c>
    </row>
    <row r="105" spans="1:51" s="500" customFormat="1" ht="12" customHeight="1">
      <c r="A105" s="673"/>
      <c r="B105" s="676"/>
      <c r="C105" s="694"/>
      <c r="D105" s="682"/>
      <c r="E105" s="521"/>
      <c r="F105" s="686"/>
      <c r="G105" s="687"/>
      <c r="H105" s="522" t="s">
        <v>634</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91"/>
      <c r="AO105" s="663"/>
      <c r="AP105" s="667"/>
      <c r="AQ105" s="668"/>
      <c r="AR105" s="663"/>
      <c r="AS105" s="663"/>
      <c r="AT105" s="671"/>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4"/>
      <c r="B106" s="677"/>
      <c r="C106" s="695"/>
      <c r="D106" s="683"/>
      <c r="E106" s="521"/>
      <c r="F106" s="688"/>
      <c r="G106" s="689"/>
      <c r="H106" s="525" t="s">
        <v>635</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92"/>
      <c r="AO106" s="664"/>
      <c r="AP106" s="669"/>
      <c r="AQ106" s="670"/>
      <c r="AR106" s="664"/>
      <c r="AS106" s="664"/>
      <c r="AT106" s="671"/>
      <c r="AU106" s="527"/>
      <c r="AV106" s="527"/>
      <c r="AX106" s="527"/>
      <c r="AY106" s="527"/>
    </row>
    <row r="107" spans="1:51" s="500" customFormat="1" ht="12" customHeight="1">
      <c r="A107" s="672">
        <v>29</v>
      </c>
      <c r="B107" s="675"/>
      <c r="C107" s="693"/>
      <c r="D107" s="681" t="s">
        <v>628</v>
      </c>
      <c r="E107" s="517"/>
      <c r="F107" s="684"/>
      <c r="G107" s="685"/>
      <c r="H107" s="518" t="s">
        <v>629</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90">
        <f t="shared" ref="AN107" si="133">IF(LEFT($AN$1,6)="共同生活援助",SUM(I108:AM108),SUM(I108:AM109))</f>
        <v>0</v>
      </c>
      <c r="AO107" s="662">
        <f>IF($AN$3="４週",AN107/4,AN107/(DAY(EOMONTH($I$21,0))/7))</f>
        <v>0</v>
      </c>
      <c r="AP107" s="665"/>
      <c r="AQ107" s="666"/>
      <c r="AR107" s="662" t="str">
        <f t="shared" ref="AR107" si="134">IF($AN$3="４週",AU108,AV108)</f>
        <v/>
      </c>
      <c r="AS107" s="662"/>
      <c r="AT107" s="671" t="str">
        <f t="shared" ref="AT107" si="135">IF(AX108&lt;=1.1,"",IF(AY108&lt;=1.1,"",IF(F107="","","勤務時間"&amp;CHAR(10)&amp;"OVER")))</f>
        <v/>
      </c>
      <c r="AU107" s="520" t="s">
        <v>630</v>
      </c>
      <c r="AV107" s="520" t="s">
        <v>631</v>
      </c>
      <c r="AX107" s="520" t="s">
        <v>632</v>
      </c>
      <c r="AY107" s="520" t="s">
        <v>633</v>
      </c>
    </row>
    <row r="108" spans="1:51" s="500" customFormat="1" ht="12" customHeight="1">
      <c r="A108" s="673"/>
      <c r="B108" s="676"/>
      <c r="C108" s="694"/>
      <c r="D108" s="682"/>
      <c r="E108" s="521"/>
      <c r="F108" s="686"/>
      <c r="G108" s="687"/>
      <c r="H108" s="522" t="s">
        <v>634</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91"/>
      <c r="AO108" s="663"/>
      <c r="AP108" s="667"/>
      <c r="AQ108" s="668"/>
      <c r="AR108" s="663"/>
      <c r="AS108" s="663"/>
      <c r="AT108" s="671"/>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4"/>
      <c r="B109" s="677"/>
      <c r="C109" s="695"/>
      <c r="D109" s="683"/>
      <c r="E109" s="521"/>
      <c r="F109" s="688"/>
      <c r="G109" s="689"/>
      <c r="H109" s="525" t="s">
        <v>635</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92"/>
      <c r="AO109" s="664"/>
      <c r="AP109" s="669"/>
      <c r="AQ109" s="670"/>
      <c r="AR109" s="664"/>
      <c r="AS109" s="664"/>
      <c r="AT109" s="671"/>
      <c r="AU109" s="527"/>
      <c r="AV109" s="527"/>
      <c r="AX109" s="527"/>
      <c r="AY109" s="527"/>
    </row>
    <row r="110" spans="1:51" s="500" customFormat="1" ht="12" customHeight="1">
      <c r="A110" s="672">
        <v>30</v>
      </c>
      <c r="B110" s="675"/>
      <c r="C110" s="693"/>
      <c r="D110" s="681" t="s">
        <v>628</v>
      </c>
      <c r="E110" s="517"/>
      <c r="F110" s="684"/>
      <c r="G110" s="685"/>
      <c r="H110" s="518" t="s">
        <v>629</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90">
        <f t="shared" ref="AN110" si="138">IF(LEFT($AN$1,6)="共同生活援助",SUM(I111:AM111),SUM(I111:AM112))</f>
        <v>0</v>
      </c>
      <c r="AO110" s="662">
        <f>IF($AN$3="４週",AN110/4,AN110/(DAY(EOMONTH($I$21,0))/7))</f>
        <v>0</v>
      </c>
      <c r="AP110" s="665"/>
      <c r="AQ110" s="666"/>
      <c r="AR110" s="662" t="str">
        <f t="shared" ref="AR110" si="139">IF($AN$3="４週",AU111,AV111)</f>
        <v/>
      </c>
      <c r="AS110" s="662"/>
      <c r="AT110" s="671" t="str">
        <f t="shared" ref="AT110" si="140">IF(AX111&lt;=1.1,"",IF(AY111&lt;=1.1,"",IF(F110="","","勤務時間"&amp;CHAR(10)&amp;"OVER")))</f>
        <v/>
      </c>
      <c r="AU110" s="520" t="s">
        <v>630</v>
      </c>
      <c r="AV110" s="520" t="s">
        <v>631</v>
      </c>
      <c r="AX110" s="520" t="s">
        <v>632</v>
      </c>
      <c r="AY110" s="520" t="s">
        <v>633</v>
      </c>
    </row>
    <row r="111" spans="1:51" s="500" customFormat="1" ht="12" customHeight="1">
      <c r="A111" s="673"/>
      <c r="B111" s="676"/>
      <c r="C111" s="694"/>
      <c r="D111" s="682"/>
      <c r="E111" s="521"/>
      <c r="F111" s="686"/>
      <c r="G111" s="687"/>
      <c r="H111" s="522" t="s">
        <v>634</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91"/>
      <c r="AO111" s="663"/>
      <c r="AP111" s="667"/>
      <c r="AQ111" s="668"/>
      <c r="AR111" s="663"/>
      <c r="AS111" s="663"/>
      <c r="AT111" s="671"/>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4"/>
      <c r="B112" s="677"/>
      <c r="C112" s="695"/>
      <c r="D112" s="683"/>
      <c r="E112" s="521"/>
      <c r="F112" s="688"/>
      <c r="G112" s="689"/>
      <c r="H112" s="525" t="s">
        <v>635</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92"/>
      <c r="AO112" s="664"/>
      <c r="AP112" s="669"/>
      <c r="AQ112" s="670"/>
      <c r="AR112" s="664"/>
      <c r="AS112" s="664"/>
      <c r="AT112" s="671"/>
      <c r="AU112" s="527"/>
      <c r="AV112" s="527"/>
      <c r="AX112" s="527"/>
      <c r="AY112" s="527"/>
    </row>
    <row r="113" spans="1:51" s="500" customFormat="1" ht="12" customHeight="1">
      <c r="A113" s="672">
        <v>31</v>
      </c>
      <c r="B113" s="675"/>
      <c r="C113" s="693"/>
      <c r="D113" s="681" t="s">
        <v>628</v>
      </c>
      <c r="E113" s="517"/>
      <c r="F113" s="684"/>
      <c r="G113" s="685"/>
      <c r="H113" s="518" t="s">
        <v>629</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90">
        <f t="shared" ref="AN113" si="143">IF(LEFT($AN$1,6)="共同生活援助",SUM(I114:AM114),SUM(I114:AM115))</f>
        <v>0</v>
      </c>
      <c r="AO113" s="662">
        <f>IF($AN$3="４週",AN113/4,AN113/(DAY(EOMONTH($I$21,0))/7))</f>
        <v>0</v>
      </c>
      <c r="AP113" s="665"/>
      <c r="AQ113" s="666"/>
      <c r="AR113" s="662" t="str">
        <f t="shared" ref="AR113" si="144">IF($AN$3="４週",AU114,AV114)</f>
        <v/>
      </c>
      <c r="AS113" s="662"/>
      <c r="AT113" s="671" t="str">
        <f t="shared" ref="AT113" si="145">IF(AX114&lt;=1.1,"",IF(AY114&lt;=1.1,"",IF(F113="","","勤務時間"&amp;CHAR(10)&amp;"OVER")))</f>
        <v/>
      </c>
      <c r="AU113" s="520" t="s">
        <v>630</v>
      </c>
      <c r="AV113" s="520" t="s">
        <v>631</v>
      </c>
      <c r="AX113" s="520" t="s">
        <v>632</v>
      </c>
      <c r="AY113" s="520" t="s">
        <v>633</v>
      </c>
    </row>
    <row r="114" spans="1:51" s="500" customFormat="1" ht="12" customHeight="1">
      <c r="A114" s="673"/>
      <c r="B114" s="676"/>
      <c r="C114" s="694"/>
      <c r="D114" s="682"/>
      <c r="E114" s="521"/>
      <c r="F114" s="686"/>
      <c r="G114" s="687"/>
      <c r="H114" s="522" t="s">
        <v>634</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91"/>
      <c r="AO114" s="663"/>
      <c r="AP114" s="667"/>
      <c r="AQ114" s="668"/>
      <c r="AR114" s="663"/>
      <c r="AS114" s="663"/>
      <c r="AT114" s="671"/>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4"/>
      <c r="B115" s="677"/>
      <c r="C115" s="695"/>
      <c r="D115" s="683"/>
      <c r="E115" s="521"/>
      <c r="F115" s="688"/>
      <c r="G115" s="689"/>
      <c r="H115" s="525" t="s">
        <v>635</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92"/>
      <c r="AO115" s="664"/>
      <c r="AP115" s="669"/>
      <c r="AQ115" s="670"/>
      <c r="AR115" s="664"/>
      <c r="AS115" s="664"/>
      <c r="AT115" s="671"/>
      <c r="AU115" s="527"/>
      <c r="AV115" s="527"/>
      <c r="AX115" s="527"/>
      <c r="AY115" s="527"/>
    </row>
    <row r="116" spans="1:51" s="500" customFormat="1" ht="12" customHeight="1">
      <c r="A116" s="672">
        <v>32</v>
      </c>
      <c r="B116" s="675"/>
      <c r="C116" s="693"/>
      <c r="D116" s="681" t="s">
        <v>628</v>
      </c>
      <c r="E116" s="517"/>
      <c r="F116" s="684"/>
      <c r="G116" s="685"/>
      <c r="H116" s="518" t="s">
        <v>629</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90">
        <f t="shared" ref="AN116" si="148">IF(LEFT($AN$1,6)="共同生活援助",SUM(I117:AM117),SUM(I117:AM118))</f>
        <v>0</v>
      </c>
      <c r="AO116" s="662">
        <f>IF($AN$3="４週",AN116/4,AN116/(DAY(EOMONTH($I$21,0))/7))</f>
        <v>0</v>
      </c>
      <c r="AP116" s="665"/>
      <c r="AQ116" s="666"/>
      <c r="AR116" s="662" t="str">
        <f t="shared" ref="AR116" si="149">IF($AN$3="４週",AU117,AV117)</f>
        <v/>
      </c>
      <c r="AS116" s="662"/>
      <c r="AT116" s="671" t="str">
        <f t="shared" ref="AT116" si="150">IF(AX117&lt;=1.1,"",IF(AY117&lt;=1.1,"",IF(F116="","","勤務時間"&amp;CHAR(10)&amp;"OVER")))</f>
        <v/>
      </c>
      <c r="AU116" s="520" t="s">
        <v>630</v>
      </c>
      <c r="AV116" s="520" t="s">
        <v>631</v>
      </c>
      <c r="AX116" s="520" t="s">
        <v>632</v>
      </c>
      <c r="AY116" s="520" t="s">
        <v>633</v>
      </c>
    </row>
    <row r="117" spans="1:51" s="500" customFormat="1" ht="12" customHeight="1">
      <c r="A117" s="673"/>
      <c r="B117" s="676"/>
      <c r="C117" s="694"/>
      <c r="D117" s="682"/>
      <c r="E117" s="521"/>
      <c r="F117" s="686"/>
      <c r="G117" s="687"/>
      <c r="H117" s="522" t="s">
        <v>634</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91"/>
      <c r="AO117" s="663"/>
      <c r="AP117" s="667"/>
      <c r="AQ117" s="668"/>
      <c r="AR117" s="663"/>
      <c r="AS117" s="663"/>
      <c r="AT117" s="671"/>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4"/>
      <c r="B118" s="677"/>
      <c r="C118" s="695"/>
      <c r="D118" s="683"/>
      <c r="E118" s="521"/>
      <c r="F118" s="688"/>
      <c r="G118" s="689"/>
      <c r="H118" s="525" t="s">
        <v>635</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92"/>
      <c r="AO118" s="664"/>
      <c r="AP118" s="669"/>
      <c r="AQ118" s="670"/>
      <c r="AR118" s="664"/>
      <c r="AS118" s="664"/>
      <c r="AT118" s="671"/>
      <c r="AU118" s="527"/>
      <c r="AV118" s="527"/>
      <c r="AX118" s="527"/>
      <c r="AY118" s="527"/>
    </row>
    <row r="119" spans="1:51" s="500" customFormat="1" ht="12" customHeight="1">
      <c r="A119" s="672">
        <v>33</v>
      </c>
      <c r="B119" s="675"/>
      <c r="C119" s="693"/>
      <c r="D119" s="681" t="s">
        <v>628</v>
      </c>
      <c r="E119" s="517"/>
      <c r="F119" s="684"/>
      <c r="G119" s="685"/>
      <c r="H119" s="518" t="s">
        <v>629</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90">
        <f t="shared" ref="AN119" si="153">IF(LEFT($AN$1,6)="共同生活援助",SUM(I120:AM120),SUM(I120:AM121))</f>
        <v>0</v>
      </c>
      <c r="AO119" s="662">
        <f>IF($AN$3="４週",AN119/4,AN119/(DAY(EOMONTH($I$21,0))/7))</f>
        <v>0</v>
      </c>
      <c r="AP119" s="665"/>
      <c r="AQ119" s="666"/>
      <c r="AR119" s="662" t="str">
        <f t="shared" ref="AR119" si="154">IF($AN$3="４週",AU120,AV120)</f>
        <v/>
      </c>
      <c r="AS119" s="662"/>
      <c r="AT119" s="671" t="str">
        <f t="shared" ref="AT119" si="155">IF(AX120&lt;=1.1,"",IF(AY120&lt;=1.1,"",IF(F119="","","勤務時間"&amp;CHAR(10)&amp;"OVER")))</f>
        <v/>
      </c>
      <c r="AU119" s="520" t="s">
        <v>630</v>
      </c>
      <c r="AV119" s="520" t="s">
        <v>631</v>
      </c>
      <c r="AX119" s="520" t="s">
        <v>632</v>
      </c>
      <c r="AY119" s="520" t="s">
        <v>633</v>
      </c>
    </row>
    <row r="120" spans="1:51" s="500" customFormat="1" ht="12" customHeight="1">
      <c r="A120" s="673"/>
      <c r="B120" s="676"/>
      <c r="C120" s="694"/>
      <c r="D120" s="682"/>
      <c r="E120" s="521"/>
      <c r="F120" s="686"/>
      <c r="G120" s="687"/>
      <c r="H120" s="522" t="s">
        <v>634</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91"/>
      <c r="AO120" s="663"/>
      <c r="AP120" s="667"/>
      <c r="AQ120" s="668"/>
      <c r="AR120" s="663"/>
      <c r="AS120" s="663"/>
      <c r="AT120" s="671"/>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4"/>
      <c r="B121" s="677"/>
      <c r="C121" s="695"/>
      <c r="D121" s="683"/>
      <c r="E121" s="521"/>
      <c r="F121" s="688"/>
      <c r="G121" s="689"/>
      <c r="H121" s="525" t="s">
        <v>635</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92"/>
      <c r="AO121" s="664"/>
      <c r="AP121" s="669"/>
      <c r="AQ121" s="670"/>
      <c r="AR121" s="664"/>
      <c r="AS121" s="664"/>
      <c r="AT121" s="671"/>
      <c r="AU121" s="527"/>
      <c r="AV121" s="527"/>
      <c r="AX121" s="527"/>
      <c r="AY121" s="527"/>
    </row>
    <row r="122" spans="1:51" s="500" customFormat="1" ht="12" customHeight="1">
      <c r="A122" s="672">
        <v>34</v>
      </c>
      <c r="B122" s="675"/>
      <c r="C122" s="693"/>
      <c r="D122" s="681" t="s">
        <v>628</v>
      </c>
      <c r="E122" s="517"/>
      <c r="F122" s="684"/>
      <c r="G122" s="685"/>
      <c r="H122" s="518" t="s">
        <v>629</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90">
        <f t="shared" ref="AN122" si="158">IF(LEFT($AN$1,6)="共同生活援助",SUM(I123:AM123),SUM(I123:AM124))</f>
        <v>0</v>
      </c>
      <c r="AO122" s="662">
        <f>IF($AN$3="４週",AN122/4,AN122/(DAY(EOMONTH($I$21,0))/7))</f>
        <v>0</v>
      </c>
      <c r="AP122" s="665"/>
      <c r="AQ122" s="666"/>
      <c r="AR122" s="662" t="str">
        <f t="shared" ref="AR122" si="159">IF($AN$3="４週",AU123,AV123)</f>
        <v/>
      </c>
      <c r="AS122" s="662"/>
      <c r="AT122" s="671" t="str">
        <f t="shared" ref="AT122" si="160">IF(AX123&lt;=1.1,"",IF(AY123&lt;=1.1,"",IF(F122="","","勤務時間"&amp;CHAR(10)&amp;"OVER")))</f>
        <v/>
      </c>
      <c r="AU122" s="520" t="s">
        <v>630</v>
      </c>
      <c r="AV122" s="520" t="s">
        <v>631</v>
      </c>
      <c r="AX122" s="520" t="s">
        <v>632</v>
      </c>
      <c r="AY122" s="520" t="s">
        <v>633</v>
      </c>
    </row>
    <row r="123" spans="1:51" s="500" customFormat="1" ht="12" customHeight="1">
      <c r="A123" s="673"/>
      <c r="B123" s="676"/>
      <c r="C123" s="694"/>
      <c r="D123" s="682"/>
      <c r="E123" s="521"/>
      <c r="F123" s="686"/>
      <c r="G123" s="687"/>
      <c r="H123" s="522" t="s">
        <v>634</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91"/>
      <c r="AO123" s="663"/>
      <c r="AP123" s="667"/>
      <c r="AQ123" s="668"/>
      <c r="AR123" s="663"/>
      <c r="AS123" s="663"/>
      <c r="AT123" s="671"/>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4"/>
      <c r="B124" s="677"/>
      <c r="C124" s="695"/>
      <c r="D124" s="683"/>
      <c r="E124" s="521"/>
      <c r="F124" s="688"/>
      <c r="G124" s="689"/>
      <c r="H124" s="525" t="s">
        <v>635</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92"/>
      <c r="AO124" s="664"/>
      <c r="AP124" s="669"/>
      <c r="AQ124" s="670"/>
      <c r="AR124" s="664"/>
      <c r="AS124" s="664"/>
      <c r="AT124" s="671"/>
      <c r="AU124" s="527"/>
      <c r="AV124" s="527"/>
      <c r="AX124" s="527"/>
      <c r="AY124" s="527"/>
    </row>
    <row r="125" spans="1:51" s="500" customFormat="1" ht="12" customHeight="1">
      <c r="A125" s="672">
        <v>35</v>
      </c>
      <c r="B125" s="675"/>
      <c r="C125" s="693"/>
      <c r="D125" s="681" t="s">
        <v>628</v>
      </c>
      <c r="E125" s="517"/>
      <c r="F125" s="684"/>
      <c r="G125" s="685"/>
      <c r="H125" s="518" t="s">
        <v>629</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90">
        <f t="shared" ref="AN125" si="163">IF(LEFT($AN$1,6)="共同生活援助",SUM(I126:AM126),SUM(I126:AM127))</f>
        <v>0</v>
      </c>
      <c r="AO125" s="662">
        <f>IF($AN$3="４週",AN125/4,AN125/(DAY(EOMONTH($I$21,0))/7))</f>
        <v>0</v>
      </c>
      <c r="AP125" s="665"/>
      <c r="AQ125" s="666"/>
      <c r="AR125" s="662" t="str">
        <f t="shared" ref="AR125" si="164">IF($AN$3="４週",AU126,AV126)</f>
        <v/>
      </c>
      <c r="AS125" s="662"/>
      <c r="AT125" s="671" t="str">
        <f t="shared" ref="AT125" si="165">IF(AX126&lt;=1.1,"",IF(AY126&lt;=1.1,"",IF(F125="","","勤務時間"&amp;CHAR(10)&amp;"OVER")))</f>
        <v/>
      </c>
      <c r="AU125" s="520" t="s">
        <v>630</v>
      </c>
      <c r="AV125" s="520" t="s">
        <v>631</v>
      </c>
      <c r="AX125" s="520" t="s">
        <v>632</v>
      </c>
      <c r="AY125" s="520" t="s">
        <v>633</v>
      </c>
    </row>
    <row r="126" spans="1:51" s="500" customFormat="1" ht="12" customHeight="1">
      <c r="A126" s="673"/>
      <c r="B126" s="676"/>
      <c r="C126" s="694"/>
      <c r="D126" s="682"/>
      <c r="E126" s="521"/>
      <c r="F126" s="686"/>
      <c r="G126" s="687"/>
      <c r="H126" s="522" t="s">
        <v>634</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91"/>
      <c r="AO126" s="663"/>
      <c r="AP126" s="667"/>
      <c r="AQ126" s="668"/>
      <c r="AR126" s="663"/>
      <c r="AS126" s="663"/>
      <c r="AT126" s="671"/>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4"/>
      <c r="B127" s="677"/>
      <c r="C127" s="695"/>
      <c r="D127" s="683"/>
      <c r="E127" s="521"/>
      <c r="F127" s="688"/>
      <c r="G127" s="689"/>
      <c r="H127" s="525" t="s">
        <v>635</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92"/>
      <c r="AO127" s="664"/>
      <c r="AP127" s="669"/>
      <c r="AQ127" s="670"/>
      <c r="AR127" s="664"/>
      <c r="AS127" s="664"/>
      <c r="AT127" s="671"/>
      <c r="AU127" s="527"/>
      <c r="AV127" s="527"/>
      <c r="AX127" s="527"/>
      <c r="AY127" s="527"/>
    </row>
    <row r="128" spans="1:51" s="500" customFormat="1" ht="12" customHeight="1">
      <c r="A128" s="672">
        <v>36</v>
      </c>
      <c r="B128" s="675"/>
      <c r="C128" s="693"/>
      <c r="D128" s="681" t="s">
        <v>628</v>
      </c>
      <c r="E128" s="517"/>
      <c r="F128" s="684"/>
      <c r="G128" s="685"/>
      <c r="H128" s="518" t="s">
        <v>629</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90">
        <f t="shared" ref="AN128" si="168">IF(LEFT($AN$1,6)="共同生活援助",SUM(I129:AM129),SUM(I129:AM130))</f>
        <v>0</v>
      </c>
      <c r="AO128" s="662">
        <f>IF($AN$3="４週",AN128/4,AN128/(DAY(EOMONTH($I$21,0))/7))</f>
        <v>0</v>
      </c>
      <c r="AP128" s="665"/>
      <c r="AQ128" s="666"/>
      <c r="AR128" s="662" t="str">
        <f t="shared" ref="AR128" si="169">IF($AN$3="４週",AU129,AV129)</f>
        <v/>
      </c>
      <c r="AS128" s="662"/>
      <c r="AT128" s="671" t="str">
        <f t="shared" ref="AT128" si="170">IF(AX129&lt;=1.1,"",IF(AY129&lt;=1.1,"",IF(F128="","","勤務時間"&amp;CHAR(10)&amp;"OVER")))</f>
        <v/>
      </c>
      <c r="AU128" s="520" t="s">
        <v>630</v>
      </c>
      <c r="AV128" s="520" t="s">
        <v>631</v>
      </c>
      <c r="AX128" s="520" t="s">
        <v>632</v>
      </c>
      <c r="AY128" s="520" t="s">
        <v>633</v>
      </c>
    </row>
    <row r="129" spans="1:51" s="500" customFormat="1" ht="12" customHeight="1">
      <c r="A129" s="673"/>
      <c r="B129" s="676"/>
      <c r="C129" s="694"/>
      <c r="D129" s="682"/>
      <c r="E129" s="521"/>
      <c r="F129" s="686"/>
      <c r="G129" s="687"/>
      <c r="H129" s="522" t="s">
        <v>634</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91"/>
      <c r="AO129" s="663"/>
      <c r="AP129" s="667"/>
      <c r="AQ129" s="668"/>
      <c r="AR129" s="663"/>
      <c r="AS129" s="663"/>
      <c r="AT129" s="671"/>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4"/>
      <c r="B130" s="677"/>
      <c r="C130" s="695"/>
      <c r="D130" s="683"/>
      <c r="E130" s="521"/>
      <c r="F130" s="688"/>
      <c r="G130" s="689"/>
      <c r="H130" s="525" t="s">
        <v>635</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92"/>
      <c r="AO130" s="664"/>
      <c r="AP130" s="669"/>
      <c r="AQ130" s="670"/>
      <c r="AR130" s="664"/>
      <c r="AS130" s="664"/>
      <c r="AT130" s="671"/>
      <c r="AU130" s="527"/>
      <c r="AV130" s="527"/>
      <c r="AX130" s="527"/>
      <c r="AY130" s="527"/>
    </row>
    <row r="131" spans="1:51" s="500" customFormat="1" ht="12" customHeight="1">
      <c r="A131" s="672">
        <v>37</v>
      </c>
      <c r="B131" s="675"/>
      <c r="C131" s="678"/>
      <c r="D131" s="681" t="s">
        <v>628</v>
      </c>
      <c r="E131" s="517"/>
      <c r="F131" s="684"/>
      <c r="G131" s="685"/>
      <c r="H131" s="518" t="s">
        <v>629</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90">
        <f t="shared" ref="AN131" si="173">IF(LEFT($AN$1,6)="共同生活援助",SUM(I132:AM132),SUM(I132:AM133))</f>
        <v>0</v>
      </c>
      <c r="AO131" s="662">
        <f>IF($AN$3="４週",AN131/4,AN131/(DAY(EOMONTH($I$21,0))/7))</f>
        <v>0</v>
      </c>
      <c r="AP131" s="665"/>
      <c r="AQ131" s="666"/>
      <c r="AR131" s="662" t="str">
        <f t="shared" ref="AR131" si="174">IF($AN$3="４週",AU132,AV132)</f>
        <v/>
      </c>
      <c r="AS131" s="662"/>
      <c r="AT131" s="671" t="str">
        <f t="shared" ref="AT131" si="175">IF(AX132&lt;=1.1,"",IF(AY132&lt;=1.1,"",IF(F131="","","勤務時間"&amp;CHAR(10)&amp;"OVER")))</f>
        <v/>
      </c>
      <c r="AU131" s="520" t="s">
        <v>630</v>
      </c>
      <c r="AV131" s="520" t="s">
        <v>631</v>
      </c>
      <c r="AX131" s="520" t="s">
        <v>632</v>
      </c>
      <c r="AY131" s="520" t="s">
        <v>633</v>
      </c>
    </row>
    <row r="132" spans="1:51" s="500" customFormat="1" ht="12" customHeight="1">
      <c r="A132" s="673"/>
      <c r="B132" s="676"/>
      <c r="C132" s="679"/>
      <c r="D132" s="682"/>
      <c r="E132" s="521"/>
      <c r="F132" s="686"/>
      <c r="G132" s="687"/>
      <c r="H132" s="522" t="s">
        <v>634</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91"/>
      <c r="AO132" s="663"/>
      <c r="AP132" s="667"/>
      <c r="AQ132" s="668"/>
      <c r="AR132" s="663"/>
      <c r="AS132" s="663"/>
      <c r="AT132" s="671"/>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4"/>
      <c r="B133" s="677"/>
      <c r="C133" s="680"/>
      <c r="D133" s="683"/>
      <c r="E133" s="521"/>
      <c r="F133" s="688"/>
      <c r="G133" s="689"/>
      <c r="H133" s="525" t="s">
        <v>635</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92"/>
      <c r="AO133" s="664"/>
      <c r="AP133" s="669"/>
      <c r="AQ133" s="670"/>
      <c r="AR133" s="664"/>
      <c r="AS133" s="664"/>
      <c r="AT133" s="671"/>
      <c r="AU133" s="527"/>
      <c r="AV133" s="527"/>
      <c r="AX133" s="527"/>
      <c r="AY133" s="527"/>
    </row>
    <row r="134" spans="1:51" s="500" customFormat="1" ht="12" customHeight="1">
      <c r="A134" s="672">
        <v>38</v>
      </c>
      <c r="B134" s="675"/>
      <c r="C134" s="693"/>
      <c r="D134" s="681" t="s">
        <v>628</v>
      </c>
      <c r="E134" s="517"/>
      <c r="F134" s="684"/>
      <c r="G134" s="685"/>
      <c r="H134" s="518" t="s">
        <v>629</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90">
        <f t="shared" ref="AN134" si="178">IF(LEFT($AN$1,6)="共同生活援助",SUM(I135:AM135),SUM(I135:AM136))</f>
        <v>0</v>
      </c>
      <c r="AO134" s="662">
        <f>IF($AN$3="４週",AN134/4,AN134/(DAY(EOMONTH($I$21,0))/7))</f>
        <v>0</v>
      </c>
      <c r="AP134" s="665"/>
      <c r="AQ134" s="666"/>
      <c r="AR134" s="662" t="str">
        <f t="shared" ref="AR134" si="179">IF($AN$3="４週",AU135,AV135)</f>
        <v/>
      </c>
      <c r="AS134" s="662"/>
      <c r="AT134" s="671" t="str">
        <f t="shared" ref="AT134" si="180">IF(AX135&lt;=1.1,"",IF(AY135&lt;=1.1,"",IF(F134="","","勤務時間"&amp;CHAR(10)&amp;"OVER")))</f>
        <v/>
      </c>
      <c r="AU134" s="520" t="s">
        <v>630</v>
      </c>
      <c r="AV134" s="520" t="s">
        <v>631</v>
      </c>
      <c r="AX134" s="520" t="s">
        <v>632</v>
      </c>
      <c r="AY134" s="520" t="s">
        <v>633</v>
      </c>
    </row>
    <row r="135" spans="1:51" s="500" customFormat="1" ht="12" customHeight="1">
      <c r="A135" s="673"/>
      <c r="B135" s="676"/>
      <c r="C135" s="694"/>
      <c r="D135" s="682"/>
      <c r="E135" s="521"/>
      <c r="F135" s="686"/>
      <c r="G135" s="687"/>
      <c r="H135" s="522" t="s">
        <v>634</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91"/>
      <c r="AO135" s="663"/>
      <c r="AP135" s="667"/>
      <c r="AQ135" s="668"/>
      <c r="AR135" s="663"/>
      <c r="AS135" s="663"/>
      <c r="AT135" s="671"/>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4"/>
      <c r="B136" s="677"/>
      <c r="C136" s="695"/>
      <c r="D136" s="683"/>
      <c r="E136" s="521"/>
      <c r="F136" s="688"/>
      <c r="G136" s="689"/>
      <c r="H136" s="525" t="s">
        <v>635</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92"/>
      <c r="AO136" s="664"/>
      <c r="AP136" s="669"/>
      <c r="AQ136" s="670"/>
      <c r="AR136" s="664"/>
      <c r="AS136" s="664"/>
      <c r="AT136" s="671"/>
      <c r="AU136" s="527"/>
      <c r="AV136" s="527"/>
      <c r="AX136" s="527"/>
      <c r="AY136" s="527"/>
    </row>
    <row r="137" spans="1:51" s="500" customFormat="1" ht="12" customHeight="1">
      <c r="A137" s="672">
        <v>39</v>
      </c>
      <c r="B137" s="675"/>
      <c r="C137" s="693"/>
      <c r="D137" s="681" t="s">
        <v>628</v>
      </c>
      <c r="E137" s="517"/>
      <c r="F137" s="684"/>
      <c r="G137" s="685"/>
      <c r="H137" s="518" t="s">
        <v>629</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90">
        <f t="shared" ref="AN137" si="183">IF(LEFT($AN$1,6)="共同生活援助",SUM(I138:AM138),SUM(I138:AM139))</f>
        <v>0</v>
      </c>
      <c r="AO137" s="662">
        <f>IF($AN$3="４週",AN137/4,AN137/(DAY(EOMONTH($I$21,0))/7))</f>
        <v>0</v>
      </c>
      <c r="AP137" s="665"/>
      <c r="AQ137" s="666"/>
      <c r="AR137" s="662" t="str">
        <f t="shared" ref="AR137" si="184">IF($AN$3="４週",AU138,AV138)</f>
        <v/>
      </c>
      <c r="AS137" s="662"/>
      <c r="AT137" s="671" t="str">
        <f t="shared" ref="AT137" si="185">IF(AX138&lt;=1.1,"",IF(AY138&lt;=1.1,"",IF(F137="","","勤務時間"&amp;CHAR(10)&amp;"OVER")))</f>
        <v/>
      </c>
      <c r="AU137" s="520" t="s">
        <v>630</v>
      </c>
      <c r="AV137" s="520" t="s">
        <v>631</v>
      </c>
      <c r="AX137" s="520" t="s">
        <v>632</v>
      </c>
      <c r="AY137" s="520" t="s">
        <v>633</v>
      </c>
    </row>
    <row r="138" spans="1:51" s="500" customFormat="1" ht="12" customHeight="1">
      <c r="A138" s="673"/>
      <c r="B138" s="676"/>
      <c r="C138" s="694"/>
      <c r="D138" s="682"/>
      <c r="E138" s="521"/>
      <c r="F138" s="686"/>
      <c r="G138" s="687"/>
      <c r="H138" s="522" t="s">
        <v>634</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91"/>
      <c r="AO138" s="663"/>
      <c r="AP138" s="667"/>
      <c r="AQ138" s="668"/>
      <c r="AR138" s="663"/>
      <c r="AS138" s="663"/>
      <c r="AT138" s="671"/>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4"/>
      <c r="B139" s="677"/>
      <c r="C139" s="695"/>
      <c r="D139" s="683"/>
      <c r="E139" s="521"/>
      <c r="F139" s="688"/>
      <c r="G139" s="689"/>
      <c r="H139" s="525" t="s">
        <v>635</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92"/>
      <c r="AO139" s="664"/>
      <c r="AP139" s="669"/>
      <c r="AQ139" s="670"/>
      <c r="AR139" s="664"/>
      <c r="AS139" s="664"/>
      <c r="AT139" s="671"/>
      <c r="AU139" s="527"/>
      <c r="AV139" s="527"/>
      <c r="AX139" s="527"/>
      <c r="AY139" s="527"/>
    </row>
    <row r="140" spans="1:51" s="500" customFormat="1" ht="12" customHeight="1">
      <c r="A140" s="672">
        <v>40</v>
      </c>
      <c r="B140" s="675"/>
      <c r="C140" s="693"/>
      <c r="D140" s="681" t="s">
        <v>628</v>
      </c>
      <c r="E140" s="517"/>
      <c r="F140" s="684"/>
      <c r="G140" s="685"/>
      <c r="H140" s="518" t="s">
        <v>629</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90">
        <f t="shared" ref="AN140" si="188">IF(LEFT($AN$1,6)="共同生活援助",SUM(I141:AM141),SUM(I141:AM142))</f>
        <v>0</v>
      </c>
      <c r="AO140" s="662">
        <f>IF($AN$3="４週",AN140/4,AN140/(DAY(EOMONTH($I$21,0))/7))</f>
        <v>0</v>
      </c>
      <c r="AP140" s="665"/>
      <c r="AQ140" s="666"/>
      <c r="AR140" s="662" t="str">
        <f t="shared" ref="AR140" si="189">IF($AN$3="４週",AU141,AV141)</f>
        <v/>
      </c>
      <c r="AS140" s="662"/>
      <c r="AT140" s="671" t="str">
        <f t="shared" ref="AT140" si="190">IF(AX141&lt;=1.1,"",IF(AY141&lt;=1.1,"",IF(F140="","","勤務時間"&amp;CHAR(10)&amp;"OVER")))</f>
        <v/>
      </c>
      <c r="AU140" s="520" t="s">
        <v>630</v>
      </c>
      <c r="AV140" s="520" t="s">
        <v>631</v>
      </c>
      <c r="AX140" s="520" t="s">
        <v>632</v>
      </c>
      <c r="AY140" s="520" t="s">
        <v>633</v>
      </c>
    </row>
    <row r="141" spans="1:51" s="500" customFormat="1" ht="12" customHeight="1">
      <c r="A141" s="673"/>
      <c r="B141" s="676"/>
      <c r="C141" s="694"/>
      <c r="D141" s="682"/>
      <c r="E141" s="521"/>
      <c r="F141" s="686"/>
      <c r="G141" s="687"/>
      <c r="H141" s="522" t="s">
        <v>634</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91"/>
      <c r="AO141" s="663"/>
      <c r="AP141" s="667"/>
      <c r="AQ141" s="668"/>
      <c r="AR141" s="663"/>
      <c r="AS141" s="663"/>
      <c r="AT141" s="671"/>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4"/>
      <c r="B142" s="677"/>
      <c r="C142" s="695"/>
      <c r="D142" s="683"/>
      <c r="E142" s="521"/>
      <c r="F142" s="688"/>
      <c r="G142" s="689"/>
      <c r="H142" s="525" t="s">
        <v>635</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92"/>
      <c r="AO142" s="664"/>
      <c r="AP142" s="669"/>
      <c r="AQ142" s="670"/>
      <c r="AR142" s="664"/>
      <c r="AS142" s="664"/>
      <c r="AT142" s="671"/>
      <c r="AU142" s="527"/>
      <c r="AV142" s="527"/>
      <c r="AX142" s="527"/>
      <c r="AY142" s="527"/>
    </row>
    <row r="143" spans="1:51" s="500" customFormat="1" ht="12" customHeight="1">
      <c r="A143" s="672">
        <v>41</v>
      </c>
      <c r="B143" s="675"/>
      <c r="C143" s="693"/>
      <c r="D143" s="681" t="s">
        <v>628</v>
      </c>
      <c r="E143" s="517"/>
      <c r="F143" s="684"/>
      <c r="G143" s="685"/>
      <c r="H143" s="518" t="s">
        <v>629</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90">
        <f t="shared" ref="AN143" si="193">IF(LEFT($AN$1,6)="共同生活援助",SUM(I144:AM144),SUM(I144:AM145))</f>
        <v>0</v>
      </c>
      <c r="AO143" s="662">
        <f>IF($AN$3="４週",AN143/4,AN143/(DAY(EOMONTH($I$21,0))/7))</f>
        <v>0</v>
      </c>
      <c r="AP143" s="665"/>
      <c r="AQ143" s="666"/>
      <c r="AR143" s="662" t="str">
        <f t="shared" ref="AR143" si="194">IF($AN$3="４週",AU144,AV144)</f>
        <v/>
      </c>
      <c r="AS143" s="662"/>
      <c r="AT143" s="671" t="str">
        <f t="shared" ref="AT143" si="195">IF(AX144&lt;=1.1,"",IF(AY144&lt;=1.1,"",IF(F143="","","勤務時間"&amp;CHAR(10)&amp;"OVER")))</f>
        <v/>
      </c>
      <c r="AU143" s="520" t="s">
        <v>630</v>
      </c>
      <c r="AV143" s="520" t="s">
        <v>631</v>
      </c>
      <c r="AX143" s="520" t="s">
        <v>632</v>
      </c>
      <c r="AY143" s="520" t="s">
        <v>633</v>
      </c>
    </row>
    <row r="144" spans="1:51" s="500" customFormat="1" ht="12" customHeight="1">
      <c r="A144" s="673"/>
      <c r="B144" s="676"/>
      <c r="C144" s="694"/>
      <c r="D144" s="682"/>
      <c r="E144" s="521"/>
      <c r="F144" s="686"/>
      <c r="G144" s="687"/>
      <c r="H144" s="522" t="s">
        <v>634</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91"/>
      <c r="AO144" s="663"/>
      <c r="AP144" s="667"/>
      <c r="AQ144" s="668"/>
      <c r="AR144" s="663"/>
      <c r="AS144" s="663"/>
      <c r="AT144" s="671"/>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4"/>
      <c r="B145" s="677"/>
      <c r="C145" s="695"/>
      <c r="D145" s="683"/>
      <c r="E145" s="521"/>
      <c r="F145" s="688"/>
      <c r="G145" s="689"/>
      <c r="H145" s="525" t="s">
        <v>635</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92"/>
      <c r="AO145" s="664"/>
      <c r="AP145" s="669"/>
      <c r="AQ145" s="670"/>
      <c r="AR145" s="664"/>
      <c r="AS145" s="664"/>
      <c r="AT145" s="671"/>
      <c r="AU145" s="527"/>
      <c r="AV145" s="527"/>
      <c r="AX145" s="527"/>
      <c r="AY145" s="527"/>
    </row>
    <row r="146" spans="1:51" s="500" customFormat="1" ht="12" customHeight="1">
      <c r="A146" s="672">
        <v>42</v>
      </c>
      <c r="B146" s="675"/>
      <c r="C146" s="693"/>
      <c r="D146" s="681" t="s">
        <v>628</v>
      </c>
      <c r="E146" s="517"/>
      <c r="F146" s="684"/>
      <c r="G146" s="685"/>
      <c r="H146" s="518" t="s">
        <v>629</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90">
        <f t="shared" ref="AN146" si="198">IF(LEFT($AN$1,6)="共同生活援助",SUM(I147:AM147),SUM(I147:AM148))</f>
        <v>0</v>
      </c>
      <c r="AO146" s="662">
        <f>IF($AN$3="４週",AN146/4,AN146/(DAY(EOMONTH($I$21,0))/7))</f>
        <v>0</v>
      </c>
      <c r="AP146" s="665"/>
      <c r="AQ146" s="666"/>
      <c r="AR146" s="662" t="str">
        <f t="shared" ref="AR146" si="199">IF($AN$3="４週",AU147,AV147)</f>
        <v/>
      </c>
      <c r="AS146" s="662"/>
      <c r="AT146" s="671" t="str">
        <f t="shared" ref="AT146" si="200">IF(AX147&lt;=1.1,"",IF(AY147&lt;=1.1,"",IF(F146="","","勤務時間"&amp;CHAR(10)&amp;"OVER")))</f>
        <v/>
      </c>
      <c r="AU146" s="520" t="s">
        <v>630</v>
      </c>
      <c r="AV146" s="520" t="s">
        <v>631</v>
      </c>
      <c r="AX146" s="520" t="s">
        <v>632</v>
      </c>
      <c r="AY146" s="520" t="s">
        <v>633</v>
      </c>
    </row>
    <row r="147" spans="1:51" s="500" customFormat="1" ht="12" customHeight="1">
      <c r="A147" s="673"/>
      <c r="B147" s="676"/>
      <c r="C147" s="694"/>
      <c r="D147" s="682"/>
      <c r="E147" s="521"/>
      <c r="F147" s="686"/>
      <c r="G147" s="687"/>
      <c r="H147" s="522" t="s">
        <v>634</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91"/>
      <c r="AO147" s="663"/>
      <c r="AP147" s="667"/>
      <c r="AQ147" s="668"/>
      <c r="AR147" s="663"/>
      <c r="AS147" s="663"/>
      <c r="AT147" s="671"/>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4"/>
      <c r="B148" s="677"/>
      <c r="C148" s="695"/>
      <c r="D148" s="683"/>
      <c r="E148" s="521"/>
      <c r="F148" s="688"/>
      <c r="G148" s="689"/>
      <c r="H148" s="525" t="s">
        <v>635</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92"/>
      <c r="AO148" s="664"/>
      <c r="AP148" s="669"/>
      <c r="AQ148" s="670"/>
      <c r="AR148" s="664"/>
      <c r="AS148" s="664"/>
      <c r="AT148" s="671"/>
      <c r="AU148" s="527"/>
      <c r="AV148" s="527"/>
      <c r="AX148" s="527"/>
      <c r="AY148" s="527"/>
    </row>
    <row r="149" spans="1:51" s="500" customFormat="1" ht="12" customHeight="1">
      <c r="A149" s="672">
        <v>43</v>
      </c>
      <c r="B149" s="675"/>
      <c r="C149" s="693"/>
      <c r="D149" s="681" t="s">
        <v>628</v>
      </c>
      <c r="E149" s="517"/>
      <c r="F149" s="684"/>
      <c r="G149" s="685"/>
      <c r="H149" s="518" t="s">
        <v>629</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90">
        <f t="shared" ref="AN149" si="203">IF(LEFT($AN$1,6)="共同生活援助",SUM(I150:AM150),SUM(I150:AM151))</f>
        <v>0</v>
      </c>
      <c r="AO149" s="662">
        <f>IF($AN$3="４週",AN149/4,AN149/(DAY(EOMONTH($I$21,0))/7))</f>
        <v>0</v>
      </c>
      <c r="AP149" s="665"/>
      <c r="AQ149" s="666"/>
      <c r="AR149" s="662" t="str">
        <f t="shared" ref="AR149" si="204">IF($AN$3="４週",AU150,AV150)</f>
        <v/>
      </c>
      <c r="AS149" s="662"/>
      <c r="AT149" s="671" t="str">
        <f t="shared" ref="AT149" si="205">IF(AX150&lt;=1.1,"",IF(AY150&lt;=1.1,"",IF(F149="","","勤務時間"&amp;CHAR(10)&amp;"OVER")))</f>
        <v/>
      </c>
      <c r="AU149" s="520" t="s">
        <v>630</v>
      </c>
      <c r="AV149" s="520" t="s">
        <v>631</v>
      </c>
      <c r="AX149" s="520" t="s">
        <v>632</v>
      </c>
      <c r="AY149" s="520" t="s">
        <v>633</v>
      </c>
    </row>
    <row r="150" spans="1:51" s="500" customFormat="1" ht="12" customHeight="1">
      <c r="A150" s="673"/>
      <c r="B150" s="676"/>
      <c r="C150" s="694"/>
      <c r="D150" s="682"/>
      <c r="E150" s="521"/>
      <c r="F150" s="686"/>
      <c r="G150" s="687"/>
      <c r="H150" s="522" t="s">
        <v>634</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91"/>
      <c r="AO150" s="663"/>
      <c r="AP150" s="667"/>
      <c r="AQ150" s="668"/>
      <c r="AR150" s="663"/>
      <c r="AS150" s="663"/>
      <c r="AT150" s="671"/>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4"/>
      <c r="B151" s="677"/>
      <c r="C151" s="695"/>
      <c r="D151" s="683"/>
      <c r="E151" s="521"/>
      <c r="F151" s="688"/>
      <c r="G151" s="689"/>
      <c r="H151" s="525" t="s">
        <v>635</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92"/>
      <c r="AO151" s="664"/>
      <c r="AP151" s="669"/>
      <c r="AQ151" s="670"/>
      <c r="AR151" s="664"/>
      <c r="AS151" s="664"/>
      <c r="AT151" s="671"/>
      <c r="AU151" s="527"/>
      <c r="AV151" s="527"/>
      <c r="AX151" s="527"/>
      <c r="AY151" s="527"/>
    </row>
    <row r="152" spans="1:51" s="500" customFormat="1" ht="12" customHeight="1">
      <c r="A152" s="672">
        <v>44</v>
      </c>
      <c r="B152" s="675"/>
      <c r="C152" s="693"/>
      <c r="D152" s="681" t="s">
        <v>628</v>
      </c>
      <c r="E152" s="517"/>
      <c r="F152" s="684"/>
      <c r="G152" s="685"/>
      <c r="H152" s="518" t="s">
        <v>629</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90">
        <f t="shared" ref="AN152" si="208">IF(LEFT($AN$1,6)="共同生活援助",SUM(I153:AM153),SUM(I153:AM154))</f>
        <v>0</v>
      </c>
      <c r="AO152" s="662">
        <f>IF($AN$3="４週",AN152/4,AN152/(DAY(EOMONTH($I$21,0))/7))</f>
        <v>0</v>
      </c>
      <c r="AP152" s="665"/>
      <c r="AQ152" s="666"/>
      <c r="AR152" s="662" t="str">
        <f t="shared" ref="AR152" si="209">IF($AN$3="４週",AU153,AV153)</f>
        <v/>
      </c>
      <c r="AS152" s="662"/>
      <c r="AT152" s="671" t="str">
        <f t="shared" ref="AT152" si="210">IF(AX153&lt;=1.1,"",IF(AY153&lt;=1.1,"",IF(F152="","","勤務時間"&amp;CHAR(10)&amp;"OVER")))</f>
        <v/>
      </c>
      <c r="AU152" s="520" t="s">
        <v>630</v>
      </c>
      <c r="AV152" s="520" t="s">
        <v>631</v>
      </c>
      <c r="AX152" s="520" t="s">
        <v>632</v>
      </c>
      <c r="AY152" s="520" t="s">
        <v>633</v>
      </c>
    </row>
    <row r="153" spans="1:51" s="500" customFormat="1" ht="12" customHeight="1">
      <c r="A153" s="673"/>
      <c r="B153" s="676"/>
      <c r="C153" s="694"/>
      <c r="D153" s="682"/>
      <c r="E153" s="521"/>
      <c r="F153" s="686"/>
      <c r="G153" s="687"/>
      <c r="H153" s="522" t="s">
        <v>634</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91"/>
      <c r="AO153" s="663"/>
      <c r="AP153" s="667"/>
      <c r="AQ153" s="668"/>
      <c r="AR153" s="663"/>
      <c r="AS153" s="663"/>
      <c r="AT153" s="671"/>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4"/>
      <c r="B154" s="677"/>
      <c r="C154" s="695"/>
      <c r="D154" s="683"/>
      <c r="E154" s="521"/>
      <c r="F154" s="688"/>
      <c r="G154" s="689"/>
      <c r="H154" s="525" t="s">
        <v>635</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92"/>
      <c r="AO154" s="664"/>
      <c r="AP154" s="669"/>
      <c r="AQ154" s="670"/>
      <c r="AR154" s="664"/>
      <c r="AS154" s="664"/>
      <c r="AT154" s="671"/>
      <c r="AU154" s="527"/>
      <c r="AV154" s="527"/>
      <c r="AX154" s="527"/>
      <c r="AY154" s="527"/>
    </row>
    <row r="155" spans="1:51" s="500" customFormat="1" ht="12" customHeight="1">
      <c r="A155" s="672">
        <v>45</v>
      </c>
      <c r="B155" s="675"/>
      <c r="C155" s="693"/>
      <c r="D155" s="681" t="s">
        <v>628</v>
      </c>
      <c r="E155" s="517"/>
      <c r="F155" s="684"/>
      <c r="G155" s="685"/>
      <c r="H155" s="518" t="s">
        <v>629</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90">
        <f t="shared" ref="AN155" si="213">IF(LEFT($AN$1,6)="共同生活援助",SUM(I156:AM156),SUM(I156:AM157))</f>
        <v>0</v>
      </c>
      <c r="AO155" s="662">
        <f>IF($AN$3="４週",AN155/4,AN155/(DAY(EOMONTH($I$21,0))/7))</f>
        <v>0</v>
      </c>
      <c r="AP155" s="665"/>
      <c r="AQ155" s="666"/>
      <c r="AR155" s="662" t="str">
        <f t="shared" ref="AR155" si="214">IF($AN$3="４週",AU156,AV156)</f>
        <v/>
      </c>
      <c r="AS155" s="662"/>
      <c r="AT155" s="671" t="str">
        <f t="shared" ref="AT155" si="215">IF(AX156&lt;=1.1,"",IF(AY156&lt;=1.1,"",IF(F155="","","勤務時間"&amp;CHAR(10)&amp;"OVER")))</f>
        <v/>
      </c>
      <c r="AU155" s="520" t="s">
        <v>630</v>
      </c>
      <c r="AV155" s="520" t="s">
        <v>631</v>
      </c>
      <c r="AX155" s="520" t="s">
        <v>632</v>
      </c>
      <c r="AY155" s="520" t="s">
        <v>633</v>
      </c>
    </row>
    <row r="156" spans="1:51" s="500" customFormat="1" ht="12" customHeight="1">
      <c r="A156" s="673"/>
      <c r="B156" s="676"/>
      <c r="C156" s="694"/>
      <c r="D156" s="682"/>
      <c r="E156" s="521"/>
      <c r="F156" s="686"/>
      <c r="G156" s="687"/>
      <c r="H156" s="522" t="s">
        <v>634</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91"/>
      <c r="AO156" s="663"/>
      <c r="AP156" s="667"/>
      <c r="AQ156" s="668"/>
      <c r="AR156" s="663"/>
      <c r="AS156" s="663"/>
      <c r="AT156" s="671"/>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4"/>
      <c r="B157" s="677"/>
      <c r="C157" s="695"/>
      <c r="D157" s="683"/>
      <c r="E157" s="521"/>
      <c r="F157" s="688"/>
      <c r="G157" s="689"/>
      <c r="H157" s="525" t="s">
        <v>635</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92"/>
      <c r="AO157" s="664"/>
      <c r="AP157" s="669"/>
      <c r="AQ157" s="670"/>
      <c r="AR157" s="664"/>
      <c r="AS157" s="664"/>
      <c r="AT157" s="671"/>
      <c r="AU157" s="527"/>
      <c r="AV157" s="527"/>
      <c r="AX157" s="527"/>
      <c r="AY157" s="527"/>
    </row>
    <row r="158" spans="1:51" s="500" customFormat="1" ht="12" customHeight="1">
      <c r="A158" s="672">
        <v>46</v>
      </c>
      <c r="B158" s="675"/>
      <c r="C158" s="693"/>
      <c r="D158" s="681" t="s">
        <v>628</v>
      </c>
      <c r="E158" s="517"/>
      <c r="F158" s="684"/>
      <c r="G158" s="685"/>
      <c r="H158" s="518" t="s">
        <v>629</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90">
        <f t="shared" ref="AN158" si="218">IF(LEFT($AN$1,6)="共同生活援助",SUM(I159:AM159),SUM(I159:AM160))</f>
        <v>0</v>
      </c>
      <c r="AO158" s="662">
        <f>IF($AN$3="４週",AN158/4,AN158/(DAY(EOMONTH($I$21,0))/7))</f>
        <v>0</v>
      </c>
      <c r="AP158" s="665"/>
      <c r="AQ158" s="666"/>
      <c r="AR158" s="662" t="str">
        <f t="shared" ref="AR158" si="219">IF($AN$3="４週",AU159,AV159)</f>
        <v/>
      </c>
      <c r="AS158" s="662"/>
      <c r="AT158" s="671" t="str">
        <f t="shared" ref="AT158" si="220">IF(AX159&lt;=1.1,"",IF(AY159&lt;=1.1,"",IF(F158="","","勤務時間"&amp;CHAR(10)&amp;"OVER")))</f>
        <v/>
      </c>
      <c r="AU158" s="520" t="s">
        <v>630</v>
      </c>
      <c r="AV158" s="520" t="s">
        <v>631</v>
      </c>
      <c r="AX158" s="520" t="s">
        <v>632</v>
      </c>
      <c r="AY158" s="520" t="s">
        <v>633</v>
      </c>
    </row>
    <row r="159" spans="1:51" s="500" customFormat="1" ht="12" customHeight="1">
      <c r="A159" s="673"/>
      <c r="B159" s="676"/>
      <c r="C159" s="694"/>
      <c r="D159" s="682"/>
      <c r="E159" s="521"/>
      <c r="F159" s="686"/>
      <c r="G159" s="687"/>
      <c r="H159" s="522" t="s">
        <v>634</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91"/>
      <c r="AO159" s="663"/>
      <c r="AP159" s="667"/>
      <c r="AQ159" s="668"/>
      <c r="AR159" s="663"/>
      <c r="AS159" s="663"/>
      <c r="AT159" s="671"/>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4"/>
      <c r="B160" s="677"/>
      <c r="C160" s="695"/>
      <c r="D160" s="683"/>
      <c r="E160" s="521"/>
      <c r="F160" s="688"/>
      <c r="G160" s="689"/>
      <c r="H160" s="525" t="s">
        <v>635</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92"/>
      <c r="AO160" s="664"/>
      <c r="AP160" s="669"/>
      <c r="AQ160" s="670"/>
      <c r="AR160" s="664"/>
      <c r="AS160" s="664"/>
      <c r="AT160" s="671"/>
      <c r="AU160" s="527"/>
      <c r="AV160" s="527"/>
      <c r="AX160" s="527"/>
      <c r="AY160" s="527"/>
    </row>
    <row r="161" spans="1:51" s="500" customFormat="1" ht="12" customHeight="1">
      <c r="A161" s="672">
        <v>47</v>
      </c>
      <c r="B161" s="675"/>
      <c r="C161" s="693"/>
      <c r="D161" s="681" t="s">
        <v>628</v>
      </c>
      <c r="E161" s="517"/>
      <c r="F161" s="684"/>
      <c r="G161" s="685"/>
      <c r="H161" s="518" t="s">
        <v>629</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90">
        <f t="shared" ref="AN161" si="223">IF(LEFT($AN$1,6)="共同生活援助",SUM(I162:AM162),SUM(I162:AM163))</f>
        <v>0</v>
      </c>
      <c r="AO161" s="662">
        <f>IF($AN$3="４週",AN161/4,AN161/(DAY(EOMONTH($I$21,0))/7))</f>
        <v>0</v>
      </c>
      <c r="AP161" s="665"/>
      <c r="AQ161" s="666"/>
      <c r="AR161" s="662" t="str">
        <f t="shared" ref="AR161" si="224">IF($AN$3="４週",AU162,AV162)</f>
        <v/>
      </c>
      <c r="AS161" s="662"/>
      <c r="AT161" s="671" t="str">
        <f t="shared" ref="AT161" si="225">IF(AX162&lt;=1.1,"",IF(AY162&lt;=1.1,"",IF(F161="","","勤務時間"&amp;CHAR(10)&amp;"OVER")))</f>
        <v/>
      </c>
      <c r="AU161" s="520" t="s">
        <v>630</v>
      </c>
      <c r="AV161" s="520" t="s">
        <v>631</v>
      </c>
      <c r="AX161" s="520" t="s">
        <v>632</v>
      </c>
      <c r="AY161" s="520" t="s">
        <v>633</v>
      </c>
    </row>
    <row r="162" spans="1:51" s="500" customFormat="1" ht="12" customHeight="1">
      <c r="A162" s="673"/>
      <c r="B162" s="676"/>
      <c r="C162" s="694"/>
      <c r="D162" s="682"/>
      <c r="E162" s="521"/>
      <c r="F162" s="686"/>
      <c r="G162" s="687"/>
      <c r="H162" s="522" t="s">
        <v>634</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91"/>
      <c r="AO162" s="663"/>
      <c r="AP162" s="667"/>
      <c r="AQ162" s="668"/>
      <c r="AR162" s="663"/>
      <c r="AS162" s="663"/>
      <c r="AT162" s="671"/>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4"/>
      <c r="B163" s="677"/>
      <c r="C163" s="695"/>
      <c r="D163" s="683"/>
      <c r="E163" s="521"/>
      <c r="F163" s="688"/>
      <c r="G163" s="689"/>
      <c r="H163" s="525" t="s">
        <v>635</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92"/>
      <c r="AO163" s="664"/>
      <c r="AP163" s="669"/>
      <c r="AQ163" s="670"/>
      <c r="AR163" s="664"/>
      <c r="AS163" s="664"/>
      <c r="AT163" s="671"/>
      <c r="AU163" s="527"/>
      <c r="AV163" s="527"/>
      <c r="AX163" s="527"/>
      <c r="AY163" s="527"/>
    </row>
    <row r="164" spans="1:51" s="500" customFormat="1" ht="12" customHeight="1">
      <c r="A164" s="672">
        <v>48</v>
      </c>
      <c r="B164" s="675"/>
      <c r="C164" s="678"/>
      <c r="D164" s="681" t="s">
        <v>628</v>
      </c>
      <c r="E164" s="517"/>
      <c r="F164" s="684"/>
      <c r="G164" s="685"/>
      <c r="H164" s="518" t="s">
        <v>629</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90">
        <f t="shared" ref="AN164" si="228">IF(LEFT($AN$1,6)="共同生活援助",SUM(I165:AM165),SUM(I165:AM166))</f>
        <v>0</v>
      </c>
      <c r="AO164" s="662">
        <f>IF($AN$3="４週",AN164/4,AN164/(DAY(EOMONTH($I$21,0))/7))</f>
        <v>0</v>
      </c>
      <c r="AP164" s="665"/>
      <c r="AQ164" s="666"/>
      <c r="AR164" s="662" t="str">
        <f t="shared" ref="AR164" si="229">IF($AN$3="４週",AU165,AV165)</f>
        <v/>
      </c>
      <c r="AS164" s="662"/>
      <c r="AT164" s="671" t="str">
        <f t="shared" ref="AT164" si="230">IF(AX165&lt;=1.1,"",IF(AY165&lt;=1.1,"",IF(F164="","","勤務時間"&amp;CHAR(10)&amp;"OVER")))</f>
        <v/>
      </c>
      <c r="AU164" s="520" t="s">
        <v>630</v>
      </c>
      <c r="AV164" s="520" t="s">
        <v>631</v>
      </c>
      <c r="AX164" s="520" t="s">
        <v>632</v>
      </c>
      <c r="AY164" s="520" t="s">
        <v>633</v>
      </c>
    </row>
    <row r="165" spans="1:51" s="500" customFormat="1" ht="12" customHeight="1">
      <c r="A165" s="673"/>
      <c r="B165" s="676"/>
      <c r="C165" s="679"/>
      <c r="D165" s="682"/>
      <c r="E165" s="521"/>
      <c r="F165" s="686"/>
      <c r="G165" s="687"/>
      <c r="H165" s="522" t="s">
        <v>634</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91"/>
      <c r="AO165" s="663"/>
      <c r="AP165" s="667"/>
      <c r="AQ165" s="668"/>
      <c r="AR165" s="663"/>
      <c r="AS165" s="663"/>
      <c r="AT165" s="671"/>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4"/>
      <c r="B166" s="677"/>
      <c r="C166" s="680"/>
      <c r="D166" s="683"/>
      <c r="E166" s="521"/>
      <c r="F166" s="688"/>
      <c r="G166" s="689"/>
      <c r="H166" s="525" t="s">
        <v>635</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92"/>
      <c r="AO166" s="664"/>
      <c r="AP166" s="669"/>
      <c r="AQ166" s="670"/>
      <c r="AR166" s="664"/>
      <c r="AS166" s="664"/>
      <c r="AT166" s="671"/>
      <c r="AU166" s="527"/>
      <c r="AV166" s="527"/>
      <c r="AX166" s="527"/>
      <c r="AY166" s="527"/>
    </row>
    <row r="167" spans="1:51" s="500" customFormat="1" ht="12" customHeight="1">
      <c r="A167" s="672">
        <v>49</v>
      </c>
      <c r="B167" s="675"/>
      <c r="C167" s="693"/>
      <c r="D167" s="681" t="s">
        <v>628</v>
      </c>
      <c r="E167" s="517"/>
      <c r="F167" s="684"/>
      <c r="G167" s="685"/>
      <c r="H167" s="518" t="s">
        <v>629</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90">
        <f t="shared" ref="AN167" si="233">IF(LEFT($AN$1,6)="共同生活援助",SUM(I168:AM168),SUM(I168:AM169))</f>
        <v>0</v>
      </c>
      <c r="AO167" s="662">
        <f>IF($AN$3="４週",AN167/4,AN167/(DAY(EOMONTH($I$21,0))/7))</f>
        <v>0</v>
      </c>
      <c r="AP167" s="665"/>
      <c r="AQ167" s="666"/>
      <c r="AR167" s="662" t="str">
        <f t="shared" ref="AR167" si="234">IF($AN$3="４週",AU168,AV168)</f>
        <v/>
      </c>
      <c r="AS167" s="662"/>
      <c r="AT167" s="671" t="str">
        <f t="shared" ref="AT167" si="235">IF(AX168&lt;=1.1,"",IF(AY168&lt;=1.1,"",IF(F167="","","勤務時間"&amp;CHAR(10)&amp;"OVER")))</f>
        <v/>
      </c>
      <c r="AU167" s="520" t="s">
        <v>630</v>
      </c>
      <c r="AV167" s="520" t="s">
        <v>631</v>
      </c>
      <c r="AX167" s="520" t="s">
        <v>632</v>
      </c>
      <c r="AY167" s="520" t="s">
        <v>633</v>
      </c>
    </row>
    <row r="168" spans="1:51" s="500" customFormat="1" ht="12" customHeight="1">
      <c r="A168" s="673"/>
      <c r="B168" s="676"/>
      <c r="C168" s="694"/>
      <c r="D168" s="682"/>
      <c r="E168" s="521"/>
      <c r="F168" s="686"/>
      <c r="G168" s="687"/>
      <c r="H168" s="522" t="s">
        <v>634</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91"/>
      <c r="AO168" s="663"/>
      <c r="AP168" s="667"/>
      <c r="AQ168" s="668"/>
      <c r="AR168" s="663"/>
      <c r="AS168" s="663"/>
      <c r="AT168" s="671"/>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4"/>
      <c r="B169" s="677"/>
      <c r="C169" s="695"/>
      <c r="D169" s="683"/>
      <c r="E169" s="521"/>
      <c r="F169" s="688"/>
      <c r="G169" s="689"/>
      <c r="H169" s="525" t="s">
        <v>635</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92"/>
      <c r="AO169" s="664"/>
      <c r="AP169" s="669"/>
      <c r="AQ169" s="670"/>
      <c r="AR169" s="664"/>
      <c r="AS169" s="664"/>
      <c r="AT169" s="671"/>
      <c r="AU169" s="527"/>
      <c r="AV169" s="527"/>
      <c r="AX169" s="527"/>
      <c r="AY169" s="527"/>
    </row>
    <row r="170" spans="1:51" s="500" customFormat="1" ht="12" customHeight="1">
      <c r="A170" s="672">
        <v>50</v>
      </c>
      <c r="B170" s="675"/>
      <c r="C170" s="693"/>
      <c r="D170" s="681" t="s">
        <v>628</v>
      </c>
      <c r="E170" s="517"/>
      <c r="F170" s="684"/>
      <c r="G170" s="685"/>
      <c r="H170" s="518" t="s">
        <v>629</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90">
        <f t="shared" ref="AN170" si="238">IF(LEFT($AN$1,6)="共同生活援助",SUM(I171:AM171),SUM(I171:AM172))</f>
        <v>0</v>
      </c>
      <c r="AO170" s="662">
        <f>IF($AN$3="４週",AN170/4,AN170/(DAY(EOMONTH($I$21,0))/7))</f>
        <v>0</v>
      </c>
      <c r="AP170" s="665"/>
      <c r="AQ170" s="666"/>
      <c r="AR170" s="662" t="str">
        <f t="shared" ref="AR170" si="239">IF($AN$3="４週",AU171,AV171)</f>
        <v/>
      </c>
      <c r="AS170" s="662"/>
      <c r="AT170" s="671" t="str">
        <f t="shared" ref="AT170" si="240">IF(AX171&lt;=1.1,"",IF(AY171&lt;=1.1,"",IF(F170="","","勤務時間"&amp;CHAR(10)&amp;"OVER")))</f>
        <v/>
      </c>
      <c r="AU170" s="520" t="s">
        <v>630</v>
      </c>
      <c r="AV170" s="520" t="s">
        <v>631</v>
      </c>
      <c r="AX170" s="520" t="s">
        <v>632</v>
      </c>
      <c r="AY170" s="520" t="s">
        <v>633</v>
      </c>
    </row>
    <row r="171" spans="1:51" s="500" customFormat="1" ht="12" customHeight="1">
      <c r="A171" s="673"/>
      <c r="B171" s="676"/>
      <c r="C171" s="694"/>
      <c r="D171" s="682"/>
      <c r="E171" s="521"/>
      <c r="F171" s="686"/>
      <c r="G171" s="687"/>
      <c r="H171" s="522" t="s">
        <v>634</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91"/>
      <c r="AO171" s="663"/>
      <c r="AP171" s="667"/>
      <c r="AQ171" s="668"/>
      <c r="AR171" s="663"/>
      <c r="AS171" s="663"/>
      <c r="AT171" s="671"/>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4"/>
      <c r="B172" s="677"/>
      <c r="C172" s="695"/>
      <c r="D172" s="683"/>
      <c r="E172" s="521"/>
      <c r="F172" s="688"/>
      <c r="G172" s="689"/>
      <c r="H172" s="525" t="s">
        <v>635</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92"/>
      <c r="AO172" s="664"/>
      <c r="AP172" s="669"/>
      <c r="AQ172" s="670"/>
      <c r="AR172" s="664"/>
      <c r="AS172" s="664"/>
      <c r="AT172" s="671"/>
      <c r="AU172" s="527"/>
      <c r="AV172" s="527"/>
      <c r="AX172" s="527"/>
      <c r="AY172" s="527"/>
    </row>
    <row r="173" spans="1:51" s="500" customFormat="1" ht="12" customHeight="1">
      <c r="A173" s="672">
        <v>51</v>
      </c>
      <c r="B173" s="675"/>
      <c r="C173" s="693"/>
      <c r="D173" s="681" t="s">
        <v>628</v>
      </c>
      <c r="E173" s="517"/>
      <c r="F173" s="684"/>
      <c r="G173" s="685"/>
      <c r="H173" s="518" t="s">
        <v>629</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90">
        <f t="shared" ref="AN173" si="243">IF(LEFT($AN$1,6)="共同生活援助",SUM(I174:AM174),SUM(I174:AM175))</f>
        <v>0</v>
      </c>
      <c r="AO173" s="662">
        <f>IF($AN$3="４週",AN173/4,AN173/(DAY(EOMONTH($I$21,0))/7))</f>
        <v>0</v>
      </c>
      <c r="AP173" s="665"/>
      <c r="AQ173" s="666"/>
      <c r="AR173" s="662" t="str">
        <f t="shared" ref="AR173" si="244">IF($AN$3="４週",AU174,AV174)</f>
        <v/>
      </c>
      <c r="AS173" s="662"/>
      <c r="AT173" s="671" t="str">
        <f t="shared" ref="AT173" si="245">IF(AX174&lt;=1.1,"",IF(AY174&lt;=1.1,"",IF(F173="","","勤務時間"&amp;CHAR(10)&amp;"OVER")))</f>
        <v/>
      </c>
      <c r="AU173" s="520" t="s">
        <v>630</v>
      </c>
      <c r="AV173" s="520" t="s">
        <v>631</v>
      </c>
      <c r="AX173" s="520" t="s">
        <v>632</v>
      </c>
      <c r="AY173" s="520" t="s">
        <v>633</v>
      </c>
    </row>
    <row r="174" spans="1:51" s="500" customFormat="1" ht="12" customHeight="1">
      <c r="A174" s="673"/>
      <c r="B174" s="676"/>
      <c r="C174" s="694"/>
      <c r="D174" s="682"/>
      <c r="E174" s="521"/>
      <c r="F174" s="686"/>
      <c r="G174" s="687"/>
      <c r="H174" s="522" t="s">
        <v>634</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91"/>
      <c r="AO174" s="663"/>
      <c r="AP174" s="667"/>
      <c r="AQ174" s="668"/>
      <c r="AR174" s="663"/>
      <c r="AS174" s="663"/>
      <c r="AT174" s="671"/>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4"/>
      <c r="B175" s="677"/>
      <c r="C175" s="695"/>
      <c r="D175" s="683"/>
      <c r="E175" s="521"/>
      <c r="F175" s="688"/>
      <c r="G175" s="689"/>
      <c r="H175" s="525" t="s">
        <v>635</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92"/>
      <c r="AO175" s="664"/>
      <c r="AP175" s="669"/>
      <c r="AQ175" s="670"/>
      <c r="AR175" s="664"/>
      <c r="AS175" s="664"/>
      <c r="AT175" s="671"/>
      <c r="AU175" s="527"/>
      <c r="AV175" s="527"/>
      <c r="AX175" s="527"/>
      <c r="AY175" s="527"/>
    </row>
    <row r="176" spans="1:51" s="500" customFormat="1" ht="12" customHeight="1">
      <c r="A176" s="672">
        <v>52</v>
      </c>
      <c r="B176" s="675"/>
      <c r="C176" s="693"/>
      <c r="D176" s="681" t="s">
        <v>628</v>
      </c>
      <c r="E176" s="517"/>
      <c r="F176" s="684"/>
      <c r="G176" s="685"/>
      <c r="H176" s="518" t="s">
        <v>629</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90">
        <f t="shared" ref="AN176" si="248">IF(LEFT($AN$1,6)="共同生活援助",SUM(I177:AM177),SUM(I177:AM178))</f>
        <v>0</v>
      </c>
      <c r="AO176" s="662">
        <f>IF($AN$3="４週",AN176/4,AN176/(DAY(EOMONTH($I$21,0))/7))</f>
        <v>0</v>
      </c>
      <c r="AP176" s="665"/>
      <c r="AQ176" s="666"/>
      <c r="AR176" s="662" t="str">
        <f t="shared" ref="AR176" si="249">IF($AN$3="４週",AU177,AV177)</f>
        <v/>
      </c>
      <c r="AS176" s="662"/>
      <c r="AT176" s="671" t="str">
        <f t="shared" ref="AT176" si="250">IF(AX177&lt;=1.1,"",IF(AY177&lt;=1.1,"",IF(F176="","","勤務時間"&amp;CHAR(10)&amp;"OVER")))</f>
        <v/>
      </c>
      <c r="AU176" s="520" t="s">
        <v>630</v>
      </c>
      <c r="AV176" s="520" t="s">
        <v>631</v>
      </c>
      <c r="AX176" s="520" t="s">
        <v>632</v>
      </c>
      <c r="AY176" s="520" t="s">
        <v>633</v>
      </c>
    </row>
    <row r="177" spans="1:51" s="500" customFormat="1" ht="12" customHeight="1">
      <c r="A177" s="673"/>
      <c r="B177" s="676"/>
      <c r="C177" s="694"/>
      <c r="D177" s="682"/>
      <c r="E177" s="521"/>
      <c r="F177" s="686"/>
      <c r="G177" s="687"/>
      <c r="H177" s="522" t="s">
        <v>634</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91"/>
      <c r="AO177" s="663"/>
      <c r="AP177" s="667"/>
      <c r="AQ177" s="668"/>
      <c r="AR177" s="663"/>
      <c r="AS177" s="663"/>
      <c r="AT177" s="671"/>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4"/>
      <c r="B178" s="677"/>
      <c r="C178" s="695"/>
      <c r="D178" s="683"/>
      <c r="E178" s="521"/>
      <c r="F178" s="688"/>
      <c r="G178" s="689"/>
      <c r="H178" s="525" t="s">
        <v>635</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92"/>
      <c r="AO178" s="664"/>
      <c r="AP178" s="669"/>
      <c r="AQ178" s="670"/>
      <c r="AR178" s="664"/>
      <c r="AS178" s="664"/>
      <c r="AT178" s="671"/>
      <c r="AU178" s="527"/>
      <c r="AV178" s="527"/>
      <c r="AX178" s="527"/>
      <c r="AY178" s="527"/>
    </row>
    <row r="179" spans="1:51" s="500" customFormat="1" ht="12" customHeight="1">
      <c r="A179" s="672">
        <v>53</v>
      </c>
      <c r="B179" s="675"/>
      <c r="C179" s="693"/>
      <c r="D179" s="681" t="s">
        <v>628</v>
      </c>
      <c r="E179" s="517"/>
      <c r="F179" s="684"/>
      <c r="G179" s="685"/>
      <c r="H179" s="518" t="s">
        <v>629</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90">
        <f t="shared" ref="AN179" si="251">IF(LEFT($AN$1,6)="共同生活援助",SUM(I180:AM180),SUM(I180:AM181))</f>
        <v>0</v>
      </c>
      <c r="AO179" s="662">
        <f>IF($AN$3="４週",AN179/4,AN179/(DAY(EOMONTH($I$21,0))/7))</f>
        <v>0</v>
      </c>
      <c r="AP179" s="665"/>
      <c r="AQ179" s="666"/>
      <c r="AR179" s="662" t="str">
        <f t="shared" ref="AR179" si="252">IF($AN$3="４週",AU180,AV180)</f>
        <v/>
      </c>
      <c r="AS179" s="662"/>
      <c r="AT179" s="671" t="str">
        <f t="shared" ref="AT179" si="253">IF(AX180&lt;=1.1,"",IF(AY180&lt;=1.1,"",IF(F179="","","勤務時間"&amp;CHAR(10)&amp;"OVER")))</f>
        <v/>
      </c>
      <c r="AU179" s="520" t="s">
        <v>630</v>
      </c>
      <c r="AV179" s="520" t="s">
        <v>631</v>
      </c>
      <c r="AX179" s="520" t="s">
        <v>632</v>
      </c>
      <c r="AY179" s="520" t="s">
        <v>633</v>
      </c>
    </row>
    <row r="180" spans="1:51" s="500" customFormat="1" ht="12" customHeight="1">
      <c r="A180" s="673"/>
      <c r="B180" s="676"/>
      <c r="C180" s="694"/>
      <c r="D180" s="682"/>
      <c r="E180" s="521"/>
      <c r="F180" s="686"/>
      <c r="G180" s="687"/>
      <c r="H180" s="522" t="s">
        <v>634</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91"/>
      <c r="AO180" s="663"/>
      <c r="AP180" s="667"/>
      <c r="AQ180" s="668"/>
      <c r="AR180" s="663"/>
      <c r="AS180" s="663"/>
      <c r="AT180" s="671"/>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4"/>
      <c r="B181" s="677"/>
      <c r="C181" s="695"/>
      <c r="D181" s="683"/>
      <c r="E181" s="521"/>
      <c r="F181" s="688"/>
      <c r="G181" s="689"/>
      <c r="H181" s="525" t="s">
        <v>635</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92"/>
      <c r="AO181" s="664"/>
      <c r="AP181" s="669"/>
      <c r="AQ181" s="670"/>
      <c r="AR181" s="664"/>
      <c r="AS181" s="664"/>
      <c r="AT181" s="671"/>
      <c r="AU181" s="527"/>
      <c r="AV181" s="527"/>
      <c r="AX181" s="527"/>
      <c r="AY181" s="527"/>
    </row>
    <row r="182" spans="1:51" s="500" customFormat="1" ht="12" customHeight="1">
      <c r="A182" s="672">
        <v>54</v>
      </c>
      <c r="B182" s="675"/>
      <c r="C182" s="693"/>
      <c r="D182" s="681" t="s">
        <v>628</v>
      </c>
      <c r="E182" s="517"/>
      <c r="F182" s="684"/>
      <c r="G182" s="685"/>
      <c r="H182" s="518" t="s">
        <v>629</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90">
        <f t="shared" ref="AN182" si="256">IF(LEFT($AN$1,6)="共同生活援助",SUM(I183:AM183),SUM(I183:AM184))</f>
        <v>0</v>
      </c>
      <c r="AO182" s="662">
        <f>IF($AN$3="４週",AN182/4,AN182/(DAY(EOMONTH($I$21,0))/7))</f>
        <v>0</v>
      </c>
      <c r="AP182" s="665"/>
      <c r="AQ182" s="666"/>
      <c r="AR182" s="662" t="str">
        <f t="shared" ref="AR182" si="257">IF($AN$3="４週",AU183,AV183)</f>
        <v/>
      </c>
      <c r="AS182" s="662"/>
      <c r="AT182" s="671" t="str">
        <f t="shared" ref="AT182" si="258">IF(AX183&lt;=1.1,"",IF(AY183&lt;=1.1,"",IF(F182="","","勤務時間"&amp;CHAR(10)&amp;"OVER")))</f>
        <v/>
      </c>
      <c r="AU182" s="520" t="s">
        <v>630</v>
      </c>
      <c r="AV182" s="520" t="s">
        <v>631</v>
      </c>
      <c r="AX182" s="520" t="s">
        <v>632</v>
      </c>
      <c r="AY182" s="520" t="s">
        <v>633</v>
      </c>
    </row>
    <row r="183" spans="1:51" s="500" customFormat="1" ht="12" customHeight="1">
      <c r="A183" s="673"/>
      <c r="B183" s="676"/>
      <c r="C183" s="694"/>
      <c r="D183" s="682"/>
      <c r="E183" s="521"/>
      <c r="F183" s="686"/>
      <c r="G183" s="687"/>
      <c r="H183" s="522" t="s">
        <v>634</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91"/>
      <c r="AO183" s="663"/>
      <c r="AP183" s="667"/>
      <c r="AQ183" s="668"/>
      <c r="AR183" s="663"/>
      <c r="AS183" s="663"/>
      <c r="AT183" s="671"/>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4"/>
      <c r="B184" s="677"/>
      <c r="C184" s="695"/>
      <c r="D184" s="683"/>
      <c r="E184" s="521"/>
      <c r="F184" s="688"/>
      <c r="G184" s="689"/>
      <c r="H184" s="525" t="s">
        <v>635</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92"/>
      <c r="AO184" s="664"/>
      <c r="AP184" s="669"/>
      <c r="AQ184" s="670"/>
      <c r="AR184" s="664"/>
      <c r="AS184" s="664"/>
      <c r="AT184" s="671"/>
      <c r="AU184" s="527"/>
      <c r="AV184" s="527"/>
      <c r="AX184" s="527"/>
      <c r="AY184" s="527"/>
    </row>
    <row r="185" spans="1:51" s="500" customFormat="1" ht="12" customHeight="1">
      <c r="A185" s="672">
        <v>55</v>
      </c>
      <c r="B185" s="675"/>
      <c r="C185" s="693"/>
      <c r="D185" s="681" t="s">
        <v>628</v>
      </c>
      <c r="E185" s="517"/>
      <c r="F185" s="684"/>
      <c r="G185" s="685"/>
      <c r="H185" s="518" t="s">
        <v>629</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90">
        <f t="shared" ref="AN185" si="261">IF(LEFT($AN$1,6)="共同生活援助",SUM(I186:AM186),SUM(I186:AM187))</f>
        <v>0</v>
      </c>
      <c r="AO185" s="662">
        <f>IF($AN$3="４週",AN185/4,AN185/(DAY(EOMONTH($I$21,0))/7))</f>
        <v>0</v>
      </c>
      <c r="AP185" s="665"/>
      <c r="AQ185" s="666"/>
      <c r="AR185" s="662" t="str">
        <f t="shared" ref="AR185" si="262">IF($AN$3="４週",AU186,AV186)</f>
        <v/>
      </c>
      <c r="AS185" s="662"/>
      <c r="AT185" s="671" t="str">
        <f t="shared" ref="AT185" si="263">IF(AX186&lt;=1.1,"",IF(AY186&lt;=1.1,"",IF(F185="","","勤務時間"&amp;CHAR(10)&amp;"OVER")))</f>
        <v/>
      </c>
      <c r="AU185" s="520" t="s">
        <v>630</v>
      </c>
      <c r="AV185" s="520" t="s">
        <v>631</v>
      </c>
      <c r="AX185" s="520" t="s">
        <v>632</v>
      </c>
      <c r="AY185" s="520" t="s">
        <v>633</v>
      </c>
    </row>
    <row r="186" spans="1:51" s="500" customFormat="1" ht="12" customHeight="1">
      <c r="A186" s="673"/>
      <c r="B186" s="676"/>
      <c r="C186" s="694"/>
      <c r="D186" s="682"/>
      <c r="E186" s="521"/>
      <c r="F186" s="686"/>
      <c r="G186" s="687"/>
      <c r="H186" s="522" t="s">
        <v>634</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91"/>
      <c r="AO186" s="663"/>
      <c r="AP186" s="667"/>
      <c r="AQ186" s="668"/>
      <c r="AR186" s="663"/>
      <c r="AS186" s="663"/>
      <c r="AT186" s="671"/>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4"/>
      <c r="B187" s="677"/>
      <c r="C187" s="695"/>
      <c r="D187" s="683"/>
      <c r="E187" s="521"/>
      <c r="F187" s="688"/>
      <c r="G187" s="689"/>
      <c r="H187" s="525" t="s">
        <v>635</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92"/>
      <c r="AO187" s="664"/>
      <c r="AP187" s="669"/>
      <c r="AQ187" s="670"/>
      <c r="AR187" s="664"/>
      <c r="AS187" s="664"/>
      <c r="AT187" s="671"/>
      <c r="AU187" s="527"/>
      <c r="AV187" s="527"/>
      <c r="AX187" s="527"/>
      <c r="AY187" s="527"/>
    </row>
    <row r="188" spans="1:51" s="500" customFormat="1" ht="12" customHeight="1">
      <c r="A188" s="672">
        <v>56</v>
      </c>
      <c r="B188" s="675"/>
      <c r="C188" s="693"/>
      <c r="D188" s="681" t="s">
        <v>628</v>
      </c>
      <c r="E188" s="517"/>
      <c r="F188" s="684"/>
      <c r="G188" s="685"/>
      <c r="H188" s="518" t="s">
        <v>629</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90">
        <f t="shared" ref="AN188" si="266">IF(LEFT($AN$1,6)="共同生活援助",SUM(I189:AM189),SUM(I189:AM190))</f>
        <v>0</v>
      </c>
      <c r="AO188" s="662">
        <f>IF($AN$3="４週",AN188/4,AN188/(DAY(EOMONTH($I$21,0))/7))</f>
        <v>0</v>
      </c>
      <c r="AP188" s="665"/>
      <c r="AQ188" s="666"/>
      <c r="AR188" s="662" t="str">
        <f t="shared" ref="AR188" si="267">IF($AN$3="４週",AU189,AV189)</f>
        <v/>
      </c>
      <c r="AS188" s="662"/>
      <c r="AT188" s="671" t="str">
        <f t="shared" ref="AT188" si="268">IF(AX189&lt;=1.1,"",IF(AY189&lt;=1.1,"",IF(F188="","","勤務時間"&amp;CHAR(10)&amp;"OVER")))</f>
        <v/>
      </c>
      <c r="AU188" s="520" t="s">
        <v>630</v>
      </c>
      <c r="AV188" s="520" t="s">
        <v>631</v>
      </c>
      <c r="AX188" s="520" t="s">
        <v>632</v>
      </c>
      <c r="AY188" s="520" t="s">
        <v>633</v>
      </c>
    </row>
    <row r="189" spans="1:51" s="500" customFormat="1" ht="12" customHeight="1">
      <c r="A189" s="673"/>
      <c r="B189" s="676"/>
      <c r="C189" s="694"/>
      <c r="D189" s="682"/>
      <c r="E189" s="521"/>
      <c r="F189" s="686"/>
      <c r="G189" s="687"/>
      <c r="H189" s="522" t="s">
        <v>634</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91"/>
      <c r="AO189" s="663"/>
      <c r="AP189" s="667"/>
      <c r="AQ189" s="668"/>
      <c r="AR189" s="663"/>
      <c r="AS189" s="663"/>
      <c r="AT189" s="671"/>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4"/>
      <c r="B190" s="677"/>
      <c r="C190" s="695"/>
      <c r="D190" s="683"/>
      <c r="E190" s="521"/>
      <c r="F190" s="688"/>
      <c r="G190" s="689"/>
      <c r="H190" s="525" t="s">
        <v>635</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92"/>
      <c r="AO190" s="664"/>
      <c r="AP190" s="669"/>
      <c r="AQ190" s="670"/>
      <c r="AR190" s="664"/>
      <c r="AS190" s="664"/>
      <c r="AT190" s="671"/>
      <c r="AU190" s="527"/>
      <c r="AV190" s="527"/>
      <c r="AX190" s="527"/>
      <c r="AY190" s="527"/>
    </row>
    <row r="191" spans="1:51" s="500" customFormat="1" ht="12" customHeight="1">
      <c r="A191" s="672">
        <v>57</v>
      </c>
      <c r="B191" s="675"/>
      <c r="C191" s="693"/>
      <c r="D191" s="681" t="s">
        <v>628</v>
      </c>
      <c r="E191" s="517"/>
      <c r="F191" s="684"/>
      <c r="G191" s="685"/>
      <c r="H191" s="518" t="s">
        <v>629</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90">
        <f t="shared" ref="AN191" si="271">IF(LEFT($AN$1,6)="共同生活援助",SUM(I192:AM192),SUM(I192:AM193))</f>
        <v>0</v>
      </c>
      <c r="AO191" s="662">
        <f>IF($AN$3="４週",AN191/4,AN191/(DAY(EOMONTH($I$21,0))/7))</f>
        <v>0</v>
      </c>
      <c r="AP191" s="665"/>
      <c r="AQ191" s="666"/>
      <c r="AR191" s="662" t="str">
        <f t="shared" ref="AR191" si="272">IF($AN$3="４週",AU192,AV192)</f>
        <v/>
      </c>
      <c r="AS191" s="662"/>
      <c r="AT191" s="671" t="str">
        <f t="shared" ref="AT191" si="273">IF(AX192&lt;=1.1,"",IF(AY192&lt;=1.1,"",IF(F191="","","勤務時間"&amp;CHAR(10)&amp;"OVER")))</f>
        <v/>
      </c>
      <c r="AU191" s="520" t="s">
        <v>630</v>
      </c>
      <c r="AV191" s="520" t="s">
        <v>631</v>
      </c>
      <c r="AX191" s="520" t="s">
        <v>632</v>
      </c>
      <c r="AY191" s="520" t="s">
        <v>633</v>
      </c>
    </row>
    <row r="192" spans="1:51" s="500" customFormat="1" ht="12" customHeight="1">
      <c r="A192" s="673"/>
      <c r="B192" s="676"/>
      <c r="C192" s="694"/>
      <c r="D192" s="682"/>
      <c r="E192" s="521"/>
      <c r="F192" s="686"/>
      <c r="G192" s="687"/>
      <c r="H192" s="522" t="s">
        <v>634</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91"/>
      <c r="AO192" s="663"/>
      <c r="AP192" s="667"/>
      <c r="AQ192" s="668"/>
      <c r="AR192" s="663"/>
      <c r="AS192" s="663"/>
      <c r="AT192" s="671"/>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4"/>
      <c r="B193" s="677"/>
      <c r="C193" s="695"/>
      <c r="D193" s="683"/>
      <c r="E193" s="521"/>
      <c r="F193" s="688"/>
      <c r="G193" s="689"/>
      <c r="H193" s="525" t="s">
        <v>635</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92"/>
      <c r="AO193" s="664"/>
      <c r="AP193" s="669"/>
      <c r="AQ193" s="670"/>
      <c r="AR193" s="664"/>
      <c r="AS193" s="664"/>
      <c r="AT193" s="671"/>
      <c r="AU193" s="527"/>
      <c r="AV193" s="527"/>
      <c r="AX193" s="527"/>
      <c r="AY193" s="527"/>
    </row>
    <row r="194" spans="1:51" s="500" customFormat="1" ht="12" customHeight="1">
      <c r="A194" s="672">
        <v>58</v>
      </c>
      <c r="B194" s="675"/>
      <c r="C194" s="693"/>
      <c r="D194" s="681" t="s">
        <v>628</v>
      </c>
      <c r="E194" s="517"/>
      <c r="F194" s="684"/>
      <c r="G194" s="685"/>
      <c r="H194" s="518" t="s">
        <v>629</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90">
        <f t="shared" ref="AN194" si="276">IF(LEFT($AN$1,6)="共同生活援助",SUM(I195:AM195),SUM(I195:AM196))</f>
        <v>0</v>
      </c>
      <c r="AO194" s="662">
        <f>IF($AN$3="４週",AN194/4,AN194/(DAY(EOMONTH($I$21,0))/7))</f>
        <v>0</v>
      </c>
      <c r="AP194" s="665"/>
      <c r="AQ194" s="666"/>
      <c r="AR194" s="662" t="str">
        <f t="shared" ref="AR194" si="277">IF($AN$3="４週",AU195,AV195)</f>
        <v/>
      </c>
      <c r="AS194" s="662"/>
      <c r="AT194" s="671" t="str">
        <f t="shared" ref="AT194" si="278">IF(AX195&lt;=1.1,"",IF(AY195&lt;=1.1,"",IF(F194="","","勤務時間"&amp;CHAR(10)&amp;"OVER")))</f>
        <v/>
      </c>
      <c r="AU194" s="520" t="s">
        <v>630</v>
      </c>
      <c r="AV194" s="520" t="s">
        <v>631</v>
      </c>
      <c r="AX194" s="520" t="s">
        <v>632</v>
      </c>
      <c r="AY194" s="520" t="s">
        <v>633</v>
      </c>
    </row>
    <row r="195" spans="1:51" s="500" customFormat="1" ht="12" customHeight="1">
      <c r="A195" s="673"/>
      <c r="B195" s="676"/>
      <c r="C195" s="694"/>
      <c r="D195" s="682"/>
      <c r="E195" s="521"/>
      <c r="F195" s="686"/>
      <c r="G195" s="687"/>
      <c r="H195" s="522" t="s">
        <v>634</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91"/>
      <c r="AO195" s="663"/>
      <c r="AP195" s="667"/>
      <c r="AQ195" s="668"/>
      <c r="AR195" s="663"/>
      <c r="AS195" s="663"/>
      <c r="AT195" s="671"/>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4"/>
      <c r="B196" s="677"/>
      <c r="C196" s="695"/>
      <c r="D196" s="683"/>
      <c r="E196" s="521"/>
      <c r="F196" s="688"/>
      <c r="G196" s="689"/>
      <c r="H196" s="525" t="s">
        <v>635</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92"/>
      <c r="AO196" s="664"/>
      <c r="AP196" s="669"/>
      <c r="AQ196" s="670"/>
      <c r="AR196" s="664"/>
      <c r="AS196" s="664"/>
      <c r="AT196" s="671"/>
      <c r="AU196" s="527"/>
      <c r="AV196" s="527"/>
      <c r="AX196" s="527"/>
      <c r="AY196" s="527"/>
    </row>
    <row r="197" spans="1:51" s="500" customFormat="1" ht="12" customHeight="1">
      <c r="A197" s="672">
        <v>59</v>
      </c>
      <c r="B197" s="675"/>
      <c r="C197" s="693"/>
      <c r="D197" s="681" t="s">
        <v>628</v>
      </c>
      <c r="E197" s="517"/>
      <c r="F197" s="684"/>
      <c r="G197" s="685"/>
      <c r="H197" s="518" t="s">
        <v>629</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90">
        <f t="shared" ref="AN197" si="281">IF(LEFT($AN$1,6)="共同生活援助",SUM(I198:AM198),SUM(I198:AM199))</f>
        <v>0</v>
      </c>
      <c r="AO197" s="662">
        <f>IF($AN$3="４週",AN197/4,AN197/(DAY(EOMONTH($I$21,0))/7))</f>
        <v>0</v>
      </c>
      <c r="AP197" s="665"/>
      <c r="AQ197" s="666"/>
      <c r="AR197" s="662" t="str">
        <f t="shared" ref="AR197" si="282">IF($AN$3="４週",AU198,AV198)</f>
        <v/>
      </c>
      <c r="AS197" s="662"/>
      <c r="AT197" s="671" t="str">
        <f t="shared" ref="AT197" si="283">IF(AX198&lt;=1.1,"",IF(AY198&lt;=1.1,"",IF(F197="","","勤務時間"&amp;CHAR(10)&amp;"OVER")))</f>
        <v/>
      </c>
      <c r="AU197" s="520" t="s">
        <v>630</v>
      </c>
      <c r="AV197" s="520" t="s">
        <v>631</v>
      </c>
      <c r="AX197" s="520" t="s">
        <v>632</v>
      </c>
      <c r="AY197" s="520" t="s">
        <v>633</v>
      </c>
    </row>
    <row r="198" spans="1:51" s="500" customFormat="1" ht="12" customHeight="1">
      <c r="A198" s="673"/>
      <c r="B198" s="676"/>
      <c r="C198" s="694"/>
      <c r="D198" s="682"/>
      <c r="E198" s="521"/>
      <c r="F198" s="686"/>
      <c r="G198" s="687"/>
      <c r="H198" s="522" t="s">
        <v>634</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91"/>
      <c r="AO198" s="663"/>
      <c r="AP198" s="667"/>
      <c r="AQ198" s="668"/>
      <c r="AR198" s="663"/>
      <c r="AS198" s="663"/>
      <c r="AT198" s="671"/>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4"/>
      <c r="B199" s="677"/>
      <c r="C199" s="695"/>
      <c r="D199" s="683"/>
      <c r="E199" s="521"/>
      <c r="F199" s="688"/>
      <c r="G199" s="689"/>
      <c r="H199" s="525" t="s">
        <v>635</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92"/>
      <c r="AO199" s="664"/>
      <c r="AP199" s="669"/>
      <c r="AQ199" s="670"/>
      <c r="AR199" s="664"/>
      <c r="AS199" s="664"/>
      <c r="AT199" s="671"/>
      <c r="AU199" s="527"/>
      <c r="AV199" s="527"/>
      <c r="AX199" s="527"/>
      <c r="AY199" s="527"/>
    </row>
    <row r="200" spans="1:51" s="500" customFormat="1" ht="12" customHeight="1">
      <c r="A200" s="672">
        <v>60</v>
      </c>
      <c r="B200" s="675"/>
      <c r="C200" s="693"/>
      <c r="D200" s="681" t="s">
        <v>628</v>
      </c>
      <c r="E200" s="517"/>
      <c r="F200" s="684"/>
      <c r="G200" s="685"/>
      <c r="H200" s="518" t="s">
        <v>629</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90">
        <f t="shared" ref="AN200" si="286">IF(LEFT($AN$1,6)="共同生活援助",SUM(I201:AM201),SUM(I201:AM202))</f>
        <v>0</v>
      </c>
      <c r="AO200" s="662">
        <f>IF($AN$3="４週",AN200/4,AN200/(DAY(EOMONTH($I$21,0))/7))</f>
        <v>0</v>
      </c>
      <c r="AP200" s="665"/>
      <c r="AQ200" s="666"/>
      <c r="AR200" s="662" t="str">
        <f t="shared" ref="AR200" si="287">IF($AN$3="４週",AU201,AV201)</f>
        <v/>
      </c>
      <c r="AS200" s="662"/>
      <c r="AT200" s="671" t="str">
        <f t="shared" ref="AT200" si="288">IF(AX201&lt;=1.1,"",IF(AY201&lt;=1.1,"",IF(F200="","","勤務時間"&amp;CHAR(10)&amp;"OVER")))</f>
        <v/>
      </c>
      <c r="AU200" s="520" t="s">
        <v>630</v>
      </c>
      <c r="AV200" s="520" t="s">
        <v>631</v>
      </c>
      <c r="AX200" s="520" t="s">
        <v>632</v>
      </c>
      <c r="AY200" s="520" t="s">
        <v>633</v>
      </c>
    </row>
    <row r="201" spans="1:51" s="500" customFormat="1" ht="12" customHeight="1">
      <c r="A201" s="673"/>
      <c r="B201" s="676"/>
      <c r="C201" s="694"/>
      <c r="D201" s="682"/>
      <c r="E201" s="521"/>
      <c r="F201" s="686"/>
      <c r="G201" s="687"/>
      <c r="H201" s="522" t="s">
        <v>634</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91"/>
      <c r="AO201" s="663"/>
      <c r="AP201" s="667"/>
      <c r="AQ201" s="668"/>
      <c r="AR201" s="663"/>
      <c r="AS201" s="663"/>
      <c r="AT201" s="671"/>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4"/>
      <c r="B202" s="677"/>
      <c r="C202" s="695"/>
      <c r="D202" s="683"/>
      <c r="E202" s="521"/>
      <c r="F202" s="688"/>
      <c r="G202" s="689"/>
      <c r="H202" s="525" t="s">
        <v>635</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92"/>
      <c r="AO202" s="664"/>
      <c r="AP202" s="669"/>
      <c r="AQ202" s="670"/>
      <c r="AR202" s="664"/>
      <c r="AS202" s="664"/>
      <c r="AT202" s="671"/>
      <c r="AU202" s="527"/>
      <c r="AV202" s="527"/>
      <c r="AX202" s="527"/>
      <c r="AY202" s="527"/>
    </row>
    <row r="203" spans="1:51" s="500" customFormat="1" ht="12" customHeight="1">
      <c r="A203" s="672">
        <v>61</v>
      </c>
      <c r="B203" s="675"/>
      <c r="C203" s="693"/>
      <c r="D203" s="681" t="s">
        <v>628</v>
      </c>
      <c r="E203" s="517"/>
      <c r="F203" s="684"/>
      <c r="G203" s="685"/>
      <c r="H203" s="518" t="s">
        <v>629</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90">
        <f t="shared" ref="AN203" si="291">IF(LEFT($AN$1,6)="共同生活援助",SUM(I204:AM204),SUM(I204:AM205))</f>
        <v>0</v>
      </c>
      <c r="AO203" s="662">
        <f>IF($AN$3="４週",AN203/4,AN203/(DAY(EOMONTH($I$21,0))/7))</f>
        <v>0</v>
      </c>
      <c r="AP203" s="665"/>
      <c r="AQ203" s="666"/>
      <c r="AR203" s="662" t="str">
        <f t="shared" ref="AR203" si="292">IF($AN$3="４週",AU204,AV204)</f>
        <v/>
      </c>
      <c r="AS203" s="662"/>
      <c r="AT203" s="671" t="str">
        <f t="shared" ref="AT203" si="293">IF(AX204&lt;=1.1,"",IF(AY204&lt;=1.1,"",IF(F203="","","勤務時間"&amp;CHAR(10)&amp;"OVER")))</f>
        <v/>
      </c>
      <c r="AU203" s="520" t="s">
        <v>630</v>
      </c>
      <c r="AV203" s="520" t="s">
        <v>631</v>
      </c>
      <c r="AX203" s="520" t="s">
        <v>632</v>
      </c>
      <c r="AY203" s="520" t="s">
        <v>633</v>
      </c>
    </row>
    <row r="204" spans="1:51" s="500" customFormat="1" ht="12" customHeight="1">
      <c r="A204" s="673"/>
      <c r="B204" s="676"/>
      <c r="C204" s="694"/>
      <c r="D204" s="682"/>
      <c r="E204" s="521"/>
      <c r="F204" s="686"/>
      <c r="G204" s="687"/>
      <c r="H204" s="522" t="s">
        <v>634</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91"/>
      <c r="AO204" s="663"/>
      <c r="AP204" s="667"/>
      <c r="AQ204" s="668"/>
      <c r="AR204" s="663"/>
      <c r="AS204" s="663"/>
      <c r="AT204" s="671"/>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4"/>
      <c r="B205" s="677"/>
      <c r="C205" s="695"/>
      <c r="D205" s="683"/>
      <c r="E205" s="521"/>
      <c r="F205" s="688"/>
      <c r="G205" s="689"/>
      <c r="H205" s="525" t="s">
        <v>635</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92"/>
      <c r="AO205" s="664"/>
      <c r="AP205" s="669"/>
      <c r="AQ205" s="670"/>
      <c r="AR205" s="664"/>
      <c r="AS205" s="664"/>
      <c r="AT205" s="671"/>
      <c r="AU205" s="527"/>
      <c r="AV205" s="527"/>
      <c r="AX205" s="527"/>
      <c r="AY205" s="527"/>
    </row>
    <row r="206" spans="1:51" s="500" customFormat="1" ht="12" customHeight="1">
      <c r="A206" s="672">
        <v>62</v>
      </c>
      <c r="B206" s="675"/>
      <c r="C206" s="693"/>
      <c r="D206" s="681" t="s">
        <v>628</v>
      </c>
      <c r="E206" s="517"/>
      <c r="F206" s="684"/>
      <c r="G206" s="685"/>
      <c r="H206" s="518" t="s">
        <v>629</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90">
        <f t="shared" ref="AN206" si="296">IF(LEFT($AN$1,6)="共同生活援助",SUM(I207:AM207),SUM(I207:AM208))</f>
        <v>0</v>
      </c>
      <c r="AO206" s="662">
        <f>IF($AN$3="４週",AN206/4,AN206/(DAY(EOMONTH($I$21,0))/7))</f>
        <v>0</v>
      </c>
      <c r="AP206" s="665"/>
      <c r="AQ206" s="666"/>
      <c r="AR206" s="662" t="str">
        <f t="shared" ref="AR206" si="297">IF($AN$3="４週",AU207,AV207)</f>
        <v/>
      </c>
      <c r="AS206" s="662"/>
      <c r="AT206" s="671" t="str">
        <f t="shared" ref="AT206" si="298">IF(AX207&lt;=1.1,"",IF(AY207&lt;=1.1,"",IF(F206="","","勤務時間"&amp;CHAR(10)&amp;"OVER")))</f>
        <v/>
      </c>
      <c r="AU206" s="520" t="s">
        <v>630</v>
      </c>
      <c r="AV206" s="520" t="s">
        <v>631</v>
      </c>
      <c r="AX206" s="520" t="s">
        <v>632</v>
      </c>
      <c r="AY206" s="520" t="s">
        <v>633</v>
      </c>
    </row>
    <row r="207" spans="1:51" s="500" customFormat="1" ht="12" customHeight="1">
      <c r="A207" s="673"/>
      <c r="B207" s="676"/>
      <c r="C207" s="694"/>
      <c r="D207" s="682"/>
      <c r="E207" s="521"/>
      <c r="F207" s="686"/>
      <c r="G207" s="687"/>
      <c r="H207" s="522" t="s">
        <v>634</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91"/>
      <c r="AO207" s="663"/>
      <c r="AP207" s="667"/>
      <c r="AQ207" s="668"/>
      <c r="AR207" s="663"/>
      <c r="AS207" s="663"/>
      <c r="AT207" s="671"/>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4"/>
      <c r="B208" s="677"/>
      <c r="C208" s="695"/>
      <c r="D208" s="683"/>
      <c r="E208" s="521"/>
      <c r="F208" s="688"/>
      <c r="G208" s="689"/>
      <c r="H208" s="525" t="s">
        <v>635</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92"/>
      <c r="AO208" s="664"/>
      <c r="AP208" s="669"/>
      <c r="AQ208" s="670"/>
      <c r="AR208" s="664"/>
      <c r="AS208" s="664"/>
      <c r="AT208" s="671"/>
      <c r="AU208" s="527"/>
      <c r="AV208" s="527"/>
      <c r="AX208" s="527"/>
      <c r="AY208" s="527"/>
    </row>
    <row r="209" spans="1:51" s="500" customFormat="1" ht="12" customHeight="1">
      <c r="A209" s="672">
        <v>63</v>
      </c>
      <c r="B209" s="675"/>
      <c r="C209" s="693"/>
      <c r="D209" s="681" t="s">
        <v>628</v>
      </c>
      <c r="E209" s="517"/>
      <c r="F209" s="684"/>
      <c r="G209" s="685"/>
      <c r="H209" s="518" t="s">
        <v>629</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90">
        <f t="shared" ref="AN209" si="301">IF(LEFT($AN$1,6)="共同生活援助",SUM(I210:AM210),SUM(I210:AM211))</f>
        <v>0</v>
      </c>
      <c r="AO209" s="662">
        <f>IF($AN$3="４週",AN209/4,AN209/(DAY(EOMONTH($I$21,0))/7))</f>
        <v>0</v>
      </c>
      <c r="AP209" s="665"/>
      <c r="AQ209" s="666"/>
      <c r="AR209" s="662" t="str">
        <f t="shared" ref="AR209" si="302">IF($AN$3="４週",AU210,AV210)</f>
        <v/>
      </c>
      <c r="AS209" s="662"/>
      <c r="AT209" s="671" t="str">
        <f t="shared" ref="AT209" si="303">IF(AX210&lt;=1.1,"",IF(AY210&lt;=1.1,"",IF(F209="","","勤務時間"&amp;CHAR(10)&amp;"OVER")))</f>
        <v/>
      </c>
      <c r="AU209" s="520" t="s">
        <v>630</v>
      </c>
      <c r="AV209" s="520" t="s">
        <v>631</v>
      </c>
      <c r="AX209" s="520" t="s">
        <v>632</v>
      </c>
      <c r="AY209" s="520" t="s">
        <v>633</v>
      </c>
    </row>
    <row r="210" spans="1:51" s="500" customFormat="1" ht="12" customHeight="1">
      <c r="A210" s="673"/>
      <c r="B210" s="676"/>
      <c r="C210" s="694"/>
      <c r="D210" s="682"/>
      <c r="E210" s="521"/>
      <c r="F210" s="686"/>
      <c r="G210" s="687"/>
      <c r="H210" s="522" t="s">
        <v>634</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91"/>
      <c r="AO210" s="663"/>
      <c r="AP210" s="667"/>
      <c r="AQ210" s="668"/>
      <c r="AR210" s="663"/>
      <c r="AS210" s="663"/>
      <c r="AT210" s="671"/>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4"/>
      <c r="B211" s="677"/>
      <c r="C211" s="695"/>
      <c r="D211" s="683"/>
      <c r="E211" s="521"/>
      <c r="F211" s="688"/>
      <c r="G211" s="689"/>
      <c r="H211" s="525" t="s">
        <v>635</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92"/>
      <c r="AO211" s="664"/>
      <c r="AP211" s="669"/>
      <c r="AQ211" s="670"/>
      <c r="AR211" s="664"/>
      <c r="AS211" s="664"/>
      <c r="AT211" s="671"/>
      <c r="AU211" s="527"/>
      <c r="AV211" s="527"/>
      <c r="AX211" s="527"/>
      <c r="AY211" s="527"/>
    </row>
    <row r="212" spans="1:51" s="500" customFormat="1" ht="12" customHeight="1">
      <c r="A212" s="672">
        <v>64</v>
      </c>
      <c r="B212" s="675"/>
      <c r="C212" s="693"/>
      <c r="D212" s="681" t="s">
        <v>628</v>
      </c>
      <c r="E212" s="517"/>
      <c r="F212" s="684"/>
      <c r="G212" s="685"/>
      <c r="H212" s="518" t="s">
        <v>629</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90">
        <f t="shared" ref="AN212" si="306">IF(LEFT($AN$1,6)="共同生活援助",SUM(I213:AM213),SUM(I213:AM214))</f>
        <v>0</v>
      </c>
      <c r="AO212" s="662">
        <f>IF($AN$3="４週",AN212/4,AN212/(DAY(EOMONTH($I$21,0))/7))</f>
        <v>0</v>
      </c>
      <c r="AP212" s="665"/>
      <c r="AQ212" s="666"/>
      <c r="AR212" s="662" t="str">
        <f t="shared" ref="AR212" si="307">IF($AN$3="４週",AU213,AV213)</f>
        <v/>
      </c>
      <c r="AS212" s="662"/>
      <c r="AT212" s="671" t="str">
        <f t="shared" ref="AT212" si="308">IF(AX213&lt;=1.1,"",IF(AY213&lt;=1.1,"",IF(F212="","","勤務時間"&amp;CHAR(10)&amp;"OVER")))</f>
        <v/>
      </c>
      <c r="AU212" s="520" t="s">
        <v>630</v>
      </c>
      <c r="AV212" s="520" t="s">
        <v>631</v>
      </c>
      <c r="AX212" s="520" t="s">
        <v>632</v>
      </c>
      <c r="AY212" s="520" t="s">
        <v>633</v>
      </c>
    </row>
    <row r="213" spans="1:51" s="500" customFormat="1" ht="12" customHeight="1">
      <c r="A213" s="673"/>
      <c r="B213" s="676"/>
      <c r="C213" s="694"/>
      <c r="D213" s="682"/>
      <c r="E213" s="521"/>
      <c r="F213" s="686"/>
      <c r="G213" s="687"/>
      <c r="H213" s="522" t="s">
        <v>634</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91"/>
      <c r="AO213" s="663"/>
      <c r="AP213" s="667"/>
      <c r="AQ213" s="668"/>
      <c r="AR213" s="663"/>
      <c r="AS213" s="663"/>
      <c r="AT213" s="671"/>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4"/>
      <c r="B214" s="677"/>
      <c r="C214" s="695"/>
      <c r="D214" s="683"/>
      <c r="E214" s="521"/>
      <c r="F214" s="688"/>
      <c r="G214" s="689"/>
      <c r="H214" s="525" t="s">
        <v>635</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92"/>
      <c r="AO214" s="664"/>
      <c r="AP214" s="669"/>
      <c r="AQ214" s="670"/>
      <c r="AR214" s="664"/>
      <c r="AS214" s="664"/>
      <c r="AT214" s="671"/>
      <c r="AU214" s="527"/>
      <c r="AV214" s="527"/>
      <c r="AX214" s="527"/>
      <c r="AY214" s="527"/>
    </row>
    <row r="215" spans="1:51" s="500" customFormat="1" ht="12" customHeight="1">
      <c r="A215" s="672">
        <v>65</v>
      </c>
      <c r="B215" s="675"/>
      <c r="C215" s="693"/>
      <c r="D215" s="681" t="s">
        <v>628</v>
      </c>
      <c r="E215" s="517"/>
      <c r="F215" s="684"/>
      <c r="G215" s="685"/>
      <c r="H215" s="518" t="s">
        <v>629</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90">
        <f t="shared" ref="AN215" si="311">IF(LEFT($AN$1,6)="共同生活援助",SUM(I216:AM216),SUM(I216:AM217))</f>
        <v>0</v>
      </c>
      <c r="AO215" s="662">
        <f>IF($AN$3="４週",AN215/4,AN215/(DAY(EOMONTH($I$21,0))/7))</f>
        <v>0</v>
      </c>
      <c r="AP215" s="665"/>
      <c r="AQ215" s="666"/>
      <c r="AR215" s="662" t="str">
        <f t="shared" ref="AR215" si="312">IF($AN$3="４週",AU216,AV216)</f>
        <v/>
      </c>
      <c r="AS215" s="662"/>
      <c r="AT215" s="671" t="str">
        <f t="shared" ref="AT215" si="313">IF(AX216&lt;=1.1,"",IF(AY216&lt;=1.1,"",IF(F215="","","勤務時間"&amp;CHAR(10)&amp;"OVER")))</f>
        <v/>
      </c>
      <c r="AU215" s="520" t="s">
        <v>630</v>
      </c>
      <c r="AV215" s="520" t="s">
        <v>631</v>
      </c>
      <c r="AX215" s="520" t="s">
        <v>632</v>
      </c>
      <c r="AY215" s="520" t="s">
        <v>633</v>
      </c>
    </row>
    <row r="216" spans="1:51" s="500" customFormat="1" ht="12" customHeight="1">
      <c r="A216" s="673"/>
      <c r="B216" s="676"/>
      <c r="C216" s="694"/>
      <c r="D216" s="682"/>
      <c r="E216" s="521"/>
      <c r="F216" s="686"/>
      <c r="G216" s="687"/>
      <c r="H216" s="522" t="s">
        <v>634</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91"/>
      <c r="AO216" s="663"/>
      <c r="AP216" s="667"/>
      <c r="AQ216" s="668"/>
      <c r="AR216" s="663"/>
      <c r="AS216" s="663"/>
      <c r="AT216" s="671"/>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4"/>
      <c r="B217" s="677"/>
      <c r="C217" s="695"/>
      <c r="D217" s="683"/>
      <c r="E217" s="521"/>
      <c r="F217" s="688"/>
      <c r="G217" s="689"/>
      <c r="H217" s="525" t="s">
        <v>635</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92"/>
      <c r="AO217" s="664"/>
      <c r="AP217" s="669"/>
      <c r="AQ217" s="670"/>
      <c r="AR217" s="664"/>
      <c r="AS217" s="664"/>
      <c r="AT217" s="671"/>
      <c r="AU217" s="527"/>
      <c r="AV217" s="527"/>
      <c r="AX217" s="527"/>
      <c r="AY217" s="527"/>
    </row>
    <row r="218" spans="1:51" s="500" customFormat="1" ht="12" customHeight="1">
      <c r="A218" s="672">
        <v>66</v>
      </c>
      <c r="B218" s="675"/>
      <c r="C218" s="693"/>
      <c r="D218" s="681" t="s">
        <v>628</v>
      </c>
      <c r="E218" s="517"/>
      <c r="F218" s="684"/>
      <c r="G218" s="685"/>
      <c r="H218" s="518" t="s">
        <v>629</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90">
        <f t="shared" ref="AN218" si="316">IF(LEFT($AN$1,6)="共同生活援助",SUM(I219:AM219),SUM(I219:AM220))</f>
        <v>0</v>
      </c>
      <c r="AO218" s="662">
        <f>IF($AN$3="４週",AN218/4,AN218/(DAY(EOMONTH($I$21,0))/7))</f>
        <v>0</v>
      </c>
      <c r="AP218" s="665"/>
      <c r="AQ218" s="666"/>
      <c r="AR218" s="662" t="str">
        <f t="shared" ref="AR218" si="317">IF($AN$3="４週",AU219,AV219)</f>
        <v/>
      </c>
      <c r="AS218" s="662"/>
      <c r="AT218" s="671" t="str">
        <f t="shared" ref="AT218" si="318">IF(AX219&lt;=1.1,"",IF(AY219&lt;=1.1,"",IF(F218="","","勤務時間"&amp;CHAR(10)&amp;"OVER")))</f>
        <v/>
      </c>
      <c r="AU218" s="520" t="s">
        <v>630</v>
      </c>
      <c r="AV218" s="520" t="s">
        <v>631</v>
      </c>
      <c r="AX218" s="520" t="s">
        <v>632</v>
      </c>
      <c r="AY218" s="520" t="s">
        <v>633</v>
      </c>
    </row>
    <row r="219" spans="1:51" s="500" customFormat="1" ht="12" customHeight="1">
      <c r="A219" s="673"/>
      <c r="B219" s="676"/>
      <c r="C219" s="694"/>
      <c r="D219" s="682"/>
      <c r="E219" s="521"/>
      <c r="F219" s="686"/>
      <c r="G219" s="687"/>
      <c r="H219" s="522" t="s">
        <v>634</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91"/>
      <c r="AO219" s="663"/>
      <c r="AP219" s="667"/>
      <c r="AQ219" s="668"/>
      <c r="AR219" s="663"/>
      <c r="AS219" s="663"/>
      <c r="AT219" s="671"/>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4"/>
      <c r="B220" s="677"/>
      <c r="C220" s="695"/>
      <c r="D220" s="683"/>
      <c r="E220" s="521"/>
      <c r="F220" s="688"/>
      <c r="G220" s="689"/>
      <c r="H220" s="525" t="s">
        <v>635</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92"/>
      <c r="AO220" s="664"/>
      <c r="AP220" s="669"/>
      <c r="AQ220" s="670"/>
      <c r="AR220" s="664"/>
      <c r="AS220" s="664"/>
      <c r="AT220" s="671"/>
      <c r="AU220" s="527"/>
      <c r="AV220" s="527"/>
      <c r="AX220" s="527"/>
      <c r="AY220" s="527"/>
    </row>
    <row r="221" spans="1:51" s="500" customFormat="1" ht="12" customHeight="1">
      <c r="A221" s="672">
        <v>67</v>
      </c>
      <c r="B221" s="675"/>
      <c r="C221" s="693"/>
      <c r="D221" s="681" t="s">
        <v>628</v>
      </c>
      <c r="E221" s="517"/>
      <c r="F221" s="684"/>
      <c r="G221" s="685"/>
      <c r="H221" s="518" t="s">
        <v>629</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90">
        <f t="shared" ref="AN221" si="321">IF(LEFT($AN$1,6)="共同生活援助",SUM(I222:AM222),SUM(I222:AM223))</f>
        <v>0</v>
      </c>
      <c r="AO221" s="662">
        <f>IF($AN$3="４週",AN221/4,AN221/(DAY(EOMONTH($I$21,0))/7))</f>
        <v>0</v>
      </c>
      <c r="AP221" s="665"/>
      <c r="AQ221" s="666"/>
      <c r="AR221" s="662" t="str">
        <f t="shared" ref="AR221" si="322">IF($AN$3="４週",AU222,AV222)</f>
        <v/>
      </c>
      <c r="AS221" s="662"/>
      <c r="AT221" s="671" t="str">
        <f t="shared" ref="AT221" si="323">IF(AX222&lt;=1.1,"",IF(AY222&lt;=1.1,"",IF(F221="","","勤務時間"&amp;CHAR(10)&amp;"OVER")))</f>
        <v/>
      </c>
      <c r="AU221" s="520" t="s">
        <v>630</v>
      </c>
      <c r="AV221" s="520" t="s">
        <v>631</v>
      </c>
      <c r="AX221" s="520" t="s">
        <v>632</v>
      </c>
      <c r="AY221" s="520" t="s">
        <v>633</v>
      </c>
    </row>
    <row r="222" spans="1:51" s="500" customFormat="1" ht="12" customHeight="1">
      <c r="A222" s="673"/>
      <c r="B222" s="676"/>
      <c r="C222" s="694"/>
      <c r="D222" s="682"/>
      <c r="E222" s="521"/>
      <c r="F222" s="686"/>
      <c r="G222" s="687"/>
      <c r="H222" s="522" t="s">
        <v>634</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91"/>
      <c r="AO222" s="663"/>
      <c r="AP222" s="667"/>
      <c r="AQ222" s="668"/>
      <c r="AR222" s="663"/>
      <c r="AS222" s="663"/>
      <c r="AT222" s="671"/>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4"/>
      <c r="B223" s="677"/>
      <c r="C223" s="695"/>
      <c r="D223" s="683"/>
      <c r="E223" s="521"/>
      <c r="F223" s="688"/>
      <c r="G223" s="689"/>
      <c r="H223" s="525" t="s">
        <v>635</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92"/>
      <c r="AO223" s="664"/>
      <c r="AP223" s="669"/>
      <c r="AQ223" s="670"/>
      <c r="AR223" s="664"/>
      <c r="AS223" s="664"/>
      <c r="AT223" s="671"/>
      <c r="AU223" s="527"/>
      <c r="AV223" s="527"/>
      <c r="AX223" s="527"/>
      <c r="AY223" s="527"/>
    </row>
    <row r="224" spans="1:51" s="500" customFormat="1" ht="12" customHeight="1">
      <c r="A224" s="672">
        <v>68</v>
      </c>
      <c r="B224" s="675"/>
      <c r="C224" s="678"/>
      <c r="D224" s="681" t="s">
        <v>628</v>
      </c>
      <c r="E224" s="517"/>
      <c r="F224" s="684"/>
      <c r="G224" s="685"/>
      <c r="H224" s="518" t="s">
        <v>629</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90">
        <f t="shared" ref="AN224" si="326">IF(LEFT($AN$1,6)="共同生活援助",SUM(I225:AM225),SUM(I225:AM226))</f>
        <v>0</v>
      </c>
      <c r="AO224" s="662">
        <f>IF($AN$3="４週",AN224/4,AN224/(DAY(EOMONTH($I$21,0))/7))</f>
        <v>0</v>
      </c>
      <c r="AP224" s="665"/>
      <c r="AQ224" s="666"/>
      <c r="AR224" s="662" t="str">
        <f t="shared" ref="AR224" si="327">IF($AN$3="４週",AU225,AV225)</f>
        <v/>
      </c>
      <c r="AS224" s="662"/>
      <c r="AT224" s="671" t="str">
        <f t="shared" ref="AT224" si="328">IF(AX225&lt;=1.1,"",IF(AY225&lt;=1.1,"",IF(F224="","","勤務時間"&amp;CHAR(10)&amp;"OVER")))</f>
        <v/>
      </c>
      <c r="AU224" s="520" t="s">
        <v>630</v>
      </c>
      <c r="AV224" s="520" t="s">
        <v>631</v>
      </c>
      <c r="AX224" s="520" t="s">
        <v>632</v>
      </c>
      <c r="AY224" s="520" t="s">
        <v>633</v>
      </c>
    </row>
    <row r="225" spans="1:51" s="500" customFormat="1" ht="12" customHeight="1">
      <c r="A225" s="673"/>
      <c r="B225" s="676"/>
      <c r="C225" s="679"/>
      <c r="D225" s="682"/>
      <c r="E225" s="521"/>
      <c r="F225" s="686"/>
      <c r="G225" s="687"/>
      <c r="H225" s="522" t="s">
        <v>634</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91"/>
      <c r="AO225" s="663"/>
      <c r="AP225" s="667"/>
      <c r="AQ225" s="668"/>
      <c r="AR225" s="663"/>
      <c r="AS225" s="663"/>
      <c r="AT225" s="671"/>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4"/>
      <c r="B226" s="677"/>
      <c r="C226" s="680"/>
      <c r="D226" s="683"/>
      <c r="E226" s="521"/>
      <c r="F226" s="688"/>
      <c r="G226" s="689"/>
      <c r="H226" s="525" t="s">
        <v>635</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92"/>
      <c r="AO226" s="664"/>
      <c r="AP226" s="669"/>
      <c r="AQ226" s="670"/>
      <c r="AR226" s="664"/>
      <c r="AS226" s="664"/>
      <c r="AT226" s="671"/>
      <c r="AU226" s="527"/>
      <c r="AV226" s="527"/>
      <c r="AX226" s="527"/>
      <c r="AY226" s="527"/>
    </row>
    <row r="227" spans="1:51" s="500" customFormat="1" ht="12" customHeight="1">
      <c r="A227" s="672">
        <v>69</v>
      </c>
      <c r="B227" s="675"/>
      <c r="C227" s="693"/>
      <c r="D227" s="681" t="s">
        <v>628</v>
      </c>
      <c r="E227" s="517"/>
      <c r="F227" s="684"/>
      <c r="G227" s="685"/>
      <c r="H227" s="518" t="s">
        <v>629</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90">
        <f t="shared" ref="AN227" si="331">IF(LEFT($AN$1,6)="共同生活援助",SUM(I228:AM228),SUM(I228:AM229))</f>
        <v>0</v>
      </c>
      <c r="AO227" s="662">
        <f>IF($AN$3="４週",AN227/4,AN227/(DAY(EOMONTH($I$21,0))/7))</f>
        <v>0</v>
      </c>
      <c r="AP227" s="665"/>
      <c r="AQ227" s="666"/>
      <c r="AR227" s="662" t="str">
        <f t="shared" ref="AR227" si="332">IF($AN$3="４週",AU228,AV228)</f>
        <v/>
      </c>
      <c r="AS227" s="662"/>
      <c r="AT227" s="671" t="str">
        <f t="shared" ref="AT227" si="333">IF(AX228&lt;=1.1,"",IF(AY228&lt;=1.1,"",IF(F227="","","勤務時間"&amp;CHAR(10)&amp;"OVER")))</f>
        <v/>
      </c>
      <c r="AU227" s="520" t="s">
        <v>630</v>
      </c>
      <c r="AV227" s="520" t="s">
        <v>631</v>
      </c>
      <c r="AX227" s="520" t="s">
        <v>632</v>
      </c>
      <c r="AY227" s="520" t="s">
        <v>633</v>
      </c>
    </row>
    <row r="228" spans="1:51" s="500" customFormat="1" ht="12" customHeight="1">
      <c r="A228" s="673"/>
      <c r="B228" s="676"/>
      <c r="C228" s="694"/>
      <c r="D228" s="682"/>
      <c r="E228" s="521"/>
      <c r="F228" s="686"/>
      <c r="G228" s="687"/>
      <c r="H228" s="522" t="s">
        <v>634</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91"/>
      <c r="AO228" s="663"/>
      <c r="AP228" s="667"/>
      <c r="AQ228" s="668"/>
      <c r="AR228" s="663"/>
      <c r="AS228" s="663"/>
      <c r="AT228" s="671"/>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4"/>
      <c r="B229" s="677"/>
      <c r="C229" s="695"/>
      <c r="D229" s="683"/>
      <c r="E229" s="521"/>
      <c r="F229" s="688"/>
      <c r="G229" s="689"/>
      <c r="H229" s="525" t="s">
        <v>635</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92"/>
      <c r="AO229" s="664"/>
      <c r="AP229" s="669"/>
      <c r="AQ229" s="670"/>
      <c r="AR229" s="664"/>
      <c r="AS229" s="664"/>
      <c r="AT229" s="671"/>
      <c r="AU229" s="527"/>
      <c r="AV229" s="527"/>
      <c r="AX229" s="527"/>
      <c r="AY229" s="527"/>
    </row>
    <row r="230" spans="1:51" s="500" customFormat="1" ht="12" customHeight="1">
      <c r="A230" s="672">
        <v>70</v>
      </c>
      <c r="B230" s="675"/>
      <c r="C230" s="693"/>
      <c r="D230" s="681" t="s">
        <v>628</v>
      </c>
      <c r="E230" s="517"/>
      <c r="F230" s="684"/>
      <c r="G230" s="685"/>
      <c r="H230" s="518" t="s">
        <v>629</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90">
        <f t="shared" ref="AN230" si="336">IF(LEFT($AN$1,6)="共同生活援助",SUM(I231:AM231),SUM(I231:AM232))</f>
        <v>0</v>
      </c>
      <c r="AO230" s="662">
        <f>IF($AN$3="４週",AN230/4,AN230/(DAY(EOMONTH($I$21,0))/7))</f>
        <v>0</v>
      </c>
      <c r="AP230" s="665"/>
      <c r="AQ230" s="666"/>
      <c r="AR230" s="662" t="str">
        <f t="shared" ref="AR230" si="337">IF($AN$3="４週",AU231,AV231)</f>
        <v/>
      </c>
      <c r="AS230" s="662"/>
      <c r="AT230" s="671" t="str">
        <f t="shared" ref="AT230" si="338">IF(AX231&lt;=1.1,"",IF(AY231&lt;=1.1,"",IF(F230="","","勤務時間"&amp;CHAR(10)&amp;"OVER")))</f>
        <v/>
      </c>
      <c r="AU230" s="520" t="s">
        <v>630</v>
      </c>
      <c r="AV230" s="520" t="s">
        <v>631</v>
      </c>
      <c r="AX230" s="520" t="s">
        <v>632</v>
      </c>
      <c r="AY230" s="520" t="s">
        <v>633</v>
      </c>
    </row>
    <row r="231" spans="1:51" s="500" customFormat="1" ht="12" customHeight="1">
      <c r="A231" s="673"/>
      <c r="B231" s="676"/>
      <c r="C231" s="694"/>
      <c r="D231" s="682"/>
      <c r="E231" s="521"/>
      <c r="F231" s="686"/>
      <c r="G231" s="687"/>
      <c r="H231" s="522" t="s">
        <v>634</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91"/>
      <c r="AO231" s="663"/>
      <c r="AP231" s="667"/>
      <c r="AQ231" s="668"/>
      <c r="AR231" s="663"/>
      <c r="AS231" s="663"/>
      <c r="AT231" s="671"/>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4"/>
      <c r="B232" s="677"/>
      <c r="C232" s="695"/>
      <c r="D232" s="683"/>
      <c r="E232" s="521"/>
      <c r="F232" s="688"/>
      <c r="G232" s="689"/>
      <c r="H232" s="525" t="s">
        <v>635</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92"/>
      <c r="AO232" s="664"/>
      <c r="AP232" s="669"/>
      <c r="AQ232" s="670"/>
      <c r="AR232" s="664"/>
      <c r="AS232" s="664"/>
      <c r="AT232" s="671"/>
      <c r="AU232" s="527"/>
      <c r="AV232" s="527"/>
      <c r="AX232" s="527"/>
      <c r="AY232" s="527"/>
    </row>
    <row r="233" spans="1:51" s="500" customFormat="1" ht="12" customHeight="1">
      <c r="A233" s="672">
        <v>71</v>
      </c>
      <c r="B233" s="675"/>
      <c r="C233" s="693"/>
      <c r="D233" s="681" t="s">
        <v>628</v>
      </c>
      <c r="E233" s="517"/>
      <c r="F233" s="684"/>
      <c r="G233" s="685"/>
      <c r="H233" s="518" t="s">
        <v>629</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90">
        <f t="shared" ref="AN233" si="341">IF(LEFT($AN$1,6)="共同生活援助",SUM(I234:AM234),SUM(I234:AM235))</f>
        <v>0</v>
      </c>
      <c r="AO233" s="662">
        <f>IF($AN$3="４週",AN233/4,AN233/(DAY(EOMONTH($I$21,0))/7))</f>
        <v>0</v>
      </c>
      <c r="AP233" s="665"/>
      <c r="AQ233" s="666"/>
      <c r="AR233" s="662" t="str">
        <f t="shared" ref="AR233" si="342">IF($AN$3="４週",AU234,AV234)</f>
        <v/>
      </c>
      <c r="AS233" s="662"/>
      <c r="AT233" s="671" t="str">
        <f t="shared" ref="AT233" si="343">IF(AX234&lt;=1.1,"",IF(AY234&lt;=1.1,"",IF(F233="","","勤務時間"&amp;CHAR(10)&amp;"OVER")))</f>
        <v/>
      </c>
      <c r="AU233" s="520" t="s">
        <v>630</v>
      </c>
      <c r="AV233" s="520" t="s">
        <v>631</v>
      </c>
      <c r="AX233" s="520" t="s">
        <v>632</v>
      </c>
      <c r="AY233" s="520" t="s">
        <v>633</v>
      </c>
    </row>
    <row r="234" spans="1:51" s="500" customFormat="1" ht="12" customHeight="1">
      <c r="A234" s="673"/>
      <c r="B234" s="676"/>
      <c r="C234" s="694"/>
      <c r="D234" s="682"/>
      <c r="E234" s="521"/>
      <c r="F234" s="686"/>
      <c r="G234" s="687"/>
      <c r="H234" s="522" t="s">
        <v>634</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91"/>
      <c r="AO234" s="663"/>
      <c r="AP234" s="667"/>
      <c r="AQ234" s="668"/>
      <c r="AR234" s="663"/>
      <c r="AS234" s="663"/>
      <c r="AT234" s="671"/>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4"/>
      <c r="B235" s="677"/>
      <c r="C235" s="695"/>
      <c r="D235" s="683"/>
      <c r="E235" s="521"/>
      <c r="F235" s="688"/>
      <c r="G235" s="689"/>
      <c r="H235" s="525" t="s">
        <v>635</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92"/>
      <c r="AO235" s="664"/>
      <c r="AP235" s="669"/>
      <c r="AQ235" s="670"/>
      <c r="AR235" s="664"/>
      <c r="AS235" s="664"/>
      <c r="AT235" s="671"/>
      <c r="AU235" s="527"/>
      <c r="AV235" s="527"/>
      <c r="AX235" s="527"/>
      <c r="AY235" s="527"/>
    </row>
    <row r="236" spans="1:51" s="500" customFormat="1" ht="12" customHeight="1">
      <c r="A236" s="672">
        <v>72</v>
      </c>
      <c r="B236" s="675"/>
      <c r="C236" s="693"/>
      <c r="D236" s="681" t="s">
        <v>628</v>
      </c>
      <c r="E236" s="517"/>
      <c r="F236" s="684"/>
      <c r="G236" s="685"/>
      <c r="H236" s="518" t="s">
        <v>629</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90">
        <f t="shared" ref="AN236" si="346">IF(LEFT($AN$1,6)="共同生活援助",SUM(I237:AM237),SUM(I237:AM238))</f>
        <v>0</v>
      </c>
      <c r="AO236" s="662">
        <f>IF($AN$3="４週",AN236/4,AN236/(DAY(EOMONTH($I$21,0))/7))</f>
        <v>0</v>
      </c>
      <c r="AP236" s="665"/>
      <c r="AQ236" s="666"/>
      <c r="AR236" s="662" t="str">
        <f t="shared" ref="AR236" si="347">IF($AN$3="４週",AU237,AV237)</f>
        <v/>
      </c>
      <c r="AS236" s="662"/>
      <c r="AT236" s="671" t="str">
        <f t="shared" ref="AT236" si="348">IF(AX237&lt;=1.1,"",IF(AY237&lt;=1.1,"",IF(F236="","","勤務時間"&amp;CHAR(10)&amp;"OVER")))</f>
        <v/>
      </c>
      <c r="AU236" s="520" t="s">
        <v>630</v>
      </c>
      <c r="AV236" s="520" t="s">
        <v>631</v>
      </c>
      <c r="AX236" s="520" t="s">
        <v>632</v>
      </c>
      <c r="AY236" s="520" t="s">
        <v>633</v>
      </c>
    </row>
    <row r="237" spans="1:51" s="500" customFormat="1" ht="12" customHeight="1">
      <c r="A237" s="673"/>
      <c r="B237" s="676"/>
      <c r="C237" s="694"/>
      <c r="D237" s="682"/>
      <c r="E237" s="521"/>
      <c r="F237" s="686"/>
      <c r="G237" s="687"/>
      <c r="H237" s="522" t="s">
        <v>634</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91"/>
      <c r="AO237" s="663"/>
      <c r="AP237" s="667"/>
      <c r="AQ237" s="668"/>
      <c r="AR237" s="663"/>
      <c r="AS237" s="663"/>
      <c r="AT237" s="671"/>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4"/>
      <c r="B238" s="677"/>
      <c r="C238" s="695"/>
      <c r="D238" s="683"/>
      <c r="E238" s="521"/>
      <c r="F238" s="688"/>
      <c r="G238" s="689"/>
      <c r="H238" s="525" t="s">
        <v>635</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92"/>
      <c r="AO238" s="664"/>
      <c r="AP238" s="669"/>
      <c r="AQ238" s="670"/>
      <c r="AR238" s="664"/>
      <c r="AS238" s="664"/>
      <c r="AT238" s="671"/>
      <c r="AU238" s="527"/>
      <c r="AV238" s="527"/>
      <c r="AX238" s="527"/>
      <c r="AY238" s="527"/>
    </row>
    <row r="239" spans="1:51" s="500" customFormat="1" ht="12" customHeight="1">
      <c r="A239" s="672">
        <v>73</v>
      </c>
      <c r="B239" s="675"/>
      <c r="C239" s="693"/>
      <c r="D239" s="681" t="s">
        <v>628</v>
      </c>
      <c r="E239" s="517"/>
      <c r="F239" s="684"/>
      <c r="G239" s="685"/>
      <c r="H239" s="518" t="s">
        <v>629</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90">
        <f t="shared" ref="AN239" si="349">IF(LEFT($AN$1,6)="共同生活援助",SUM(I240:AM240),SUM(I240:AM241))</f>
        <v>0</v>
      </c>
      <c r="AO239" s="662">
        <f>IF($AN$3="４週",AN239/4,AN239/(DAY(EOMONTH($I$21,0))/7))</f>
        <v>0</v>
      </c>
      <c r="AP239" s="665"/>
      <c r="AQ239" s="666"/>
      <c r="AR239" s="662" t="str">
        <f t="shared" ref="AR239" si="350">IF($AN$3="４週",AU240,AV240)</f>
        <v/>
      </c>
      <c r="AS239" s="662"/>
      <c r="AT239" s="671" t="str">
        <f t="shared" ref="AT239" si="351">IF(AX240&lt;=1.1,"",IF(AY240&lt;=1.1,"",IF(F239="","","勤務時間"&amp;CHAR(10)&amp;"OVER")))</f>
        <v/>
      </c>
      <c r="AU239" s="520" t="s">
        <v>630</v>
      </c>
      <c r="AV239" s="520" t="s">
        <v>631</v>
      </c>
      <c r="AX239" s="520" t="s">
        <v>632</v>
      </c>
      <c r="AY239" s="520" t="s">
        <v>633</v>
      </c>
    </row>
    <row r="240" spans="1:51" s="500" customFormat="1" ht="12" customHeight="1">
      <c r="A240" s="673"/>
      <c r="B240" s="676"/>
      <c r="C240" s="694"/>
      <c r="D240" s="682"/>
      <c r="E240" s="521"/>
      <c r="F240" s="686"/>
      <c r="G240" s="687"/>
      <c r="H240" s="522" t="s">
        <v>634</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91"/>
      <c r="AO240" s="663"/>
      <c r="AP240" s="667"/>
      <c r="AQ240" s="668"/>
      <c r="AR240" s="663"/>
      <c r="AS240" s="663"/>
      <c r="AT240" s="671"/>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4"/>
      <c r="B241" s="677"/>
      <c r="C241" s="695"/>
      <c r="D241" s="683"/>
      <c r="E241" s="521"/>
      <c r="F241" s="688"/>
      <c r="G241" s="689"/>
      <c r="H241" s="525" t="s">
        <v>635</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92"/>
      <c r="AO241" s="664"/>
      <c r="AP241" s="669"/>
      <c r="AQ241" s="670"/>
      <c r="AR241" s="664"/>
      <c r="AS241" s="664"/>
      <c r="AT241" s="671"/>
      <c r="AU241" s="527"/>
      <c r="AV241" s="527"/>
      <c r="AX241" s="527"/>
      <c r="AY241" s="527"/>
    </row>
    <row r="242" spans="1:51" s="500" customFormat="1" ht="12" customHeight="1">
      <c r="A242" s="672">
        <v>74</v>
      </c>
      <c r="B242" s="675"/>
      <c r="C242" s="693"/>
      <c r="D242" s="681" t="s">
        <v>628</v>
      </c>
      <c r="E242" s="517"/>
      <c r="F242" s="684"/>
      <c r="G242" s="685"/>
      <c r="H242" s="518" t="s">
        <v>629</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90">
        <f t="shared" ref="AN242" si="354">IF(LEFT($AN$1,6)="共同生活援助",SUM(I243:AM243),SUM(I243:AM244))</f>
        <v>0</v>
      </c>
      <c r="AO242" s="662">
        <f>IF($AN$3="４週",AN242/4,AN242/(DAY(EOMONTH($I$21,0))/7))</f>
        <v>0</v>
      </c>
      <c r="AP242" s="665"/>
      <c r="AQ242" s="666"/>
      <c r="AR242" s="662" t="str">
        <f t="shared" ref="AR242" si="355">IF($AN$3="４週",AU243,AV243)</f>
        <v/>
      </c>
      <c r="AS242" s="662"/>
      <c r="AT242" s="671" t="str">
        <f t="shared" ref="AT242" si="356">IF(AX243&lt;=1.1,"",IF(AY243&lt;=1.1,"",IF(F242="","","勤務時間"&amp;CHAR(10)&amp;"OVER")))</f>
        <v/>
      </c>
      <c r="AU242" s="520" t="s">
        <v>630</v>
      </c>
      <c r="AV242" s="520" t="s">
        <v>631</v>
      </c>
      <c r="AX242" s="520" t="s">
        <v>632</v>
      </c>
      <c r="AY242" s="520" t="s">
        <v>633</v>
      </c>
    </row>
    <row r="243" spans="1:51" s="500" customFormat="1" ht="12" customHeight="1">
      <c r="A243" s="673"/>
      <c r="B243" s="676"/>
      <c r="C243" s="694"/>
      <c r="D243" s="682"/>
      <c r="E243" s="521"/>
      <c r="F243" s="686"/>
      <c r="G243" s="687"/>
      <c r="H243" s="522" t="s">
        <v>634</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91"/>
      <c r="AO243" s="663"/>
      <c r="AP243" s="667"/>
      <c r="AQ243" s="668"/>
      <c r="AR243" s="663"/>
      <c r="AS243" s="663"/>
      <c r="AT243" s="671"/>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4"/>
      <c r="B244" s="677"/>
      <c r="C244" s="695"/>
      <c r="D244" s="683"/>
      <c r="E244" s="521"/>
      <c r="F244" s="688"/>
      <c r="G244" s="689"/>
      <c r="H244" s="525" t="s">
        <v>635</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92"/>
      <c r="AO244" s="664"/>
      <c r="AP244" s="669"/>
      <c r="AQ244" s="670"/>
      <c r="AR244" s="664"/>
      <c r="AS244" s="664"/>
      <c r="AT244" s="671"/>
      <c r="AU244" s="527"/>
      <c r="AV244" s="527"/>
      <c r="AX244" s="527"/>
      <c r="AY244" s="527"/>
    </row>
    <row r="245" spans="1:51" s="500" customFormat="1" ht="12" customHeight="1">
      <c r="A245" s="672">
        <v>75</v>
      </c>
      <c r="B245" s="675"/>
      <c r="C245" s="693"/>
      <c r="D245" s="681" t="s">
        <v>628</v>
      </c>
      <c r="E245" s="517"/>
      <c r="F245" s="684"/>
      <c r="G245" s="685"/>
      <c r="H245" s="518" t="s">
        <v>629</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90">
        <f t="shared" ref="AN245" si="359">IF(LEFT($AN$1,6)="共同生活援助",SUM(I246:AM246),SUM(I246:AM247))</f>
        <v>0</v>
      </c>
      <c r="AO245" s="662">
        <f>IF($AN$3="４週",AN245/4,AN245/(DAY(EOMONTH($I$21,0))/7))</f>
        <v>0</v>
      </c>
      <c r="AP245" s="665"/>
      <c r="AQ245" s="666"/>
      <c r="AR245" s="662" t="str">
        <f t="shared" ref="AR245" si="360">IF($AN$3="４週",AU246,AV246)</f>
        <v/>
      </c>
      <c r="AS245" s="662"/>
      <c r="AT245" s="671" t="str">
        <f t="shared" ref="AT245" si="361">IF(AX246&lt;=1.1,"",IF(AY246&lt;=1.1,"",IF(F245="","","勤務時間"&amp;CHAR(10)&amp;"OVER")))</f>
        <v/>
      </c>
      <c r="AU245" s="520" t="s">
        <v>630</v>
      </c>
      <c r="AV245" s="520" t="s">
        <v>631</v>
      </c>
      <c r="AX245" s="520" t="s">
        <v>632</v>
      </c>
      <c r="AY245" s="520" t="s">
        <v>633</v>
      </c>
    </row>
    <row r="246" spans="1:51" s="500" customFormat="1" ht="12" customHeight="1">
      <c r="A246" s="673"/>
      <c r="B246" s="676"/>
      <c r="C246" s="694"/>
      <c r="D246" s="682"/>
      <c r="E246" s="521"/>
      <c r="F246" s="686"/>
      <c r="G246" s="687"/>
      <c r="H246" s="522" t="s">
        <v>634</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91"/>
      <c r="AO246" s="663"/>
      <c r="AP246" s="667"/>
      <c r="AQ246" s="668"/>
      <c r="AR246" s="663"/>
      <c r="AS246" s="663"/>
      <c r="AT246" s="671"/>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4"/>
      <c r="B247" s="677"/>
      <c r="C247" s="695"/>
      <c r="D247" s="683"/>
      <c r="E247" s="521"/>
      <c r="F247" s="688"/>
      <c r="G247" s="689"/>
      <c r="H247" s="525" t="s">
        <v>635</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92"/>
      <c r="AO247" s="664"/>
      <c r="AP247" s="669"/>
      <c r="AQ247" s="670"/>
      <c r="AR247" s="664"/>
      <c r="AS247" s="664"/>
      <c r="AT247" s="671"/>
      <c r="AU247" s="527"/>
      <c r="AV247" s="527"/>
      <c r="AX247" s="527"/>
      <c r="AY247" s="527"/>
    </row>
    <row r="248" spans="1:51" s="500" customFormat="1" ht="12" customHeight="1">
      <c r="A248" s="672">
        <v>76</v>
      </c>
      <c r="B248" s="675"/>
      <c r="C248" s="693"/>
      <c r="D248" s="681" t="s">
        <v>628</v>
      </c>
      <c r="E248" s="517"/>
      <c r="F248" s="684"/>
      <c r="G248" s="685"/>
      <c r="H248" s="518" t="s">
        <v>629</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90">
        <f t="shared" ref="AN248" si="364">IF(LEFT($AN$1,6)="共同生活援助",SUM(I249:AM249),SUM(I249:AM250))</f>
        <v>0</v>
      </c>
      <c r="AO248" s="662">
        <f>IF($AN$3="４週",AN248/4,AN248/(DAY(EOMONTH($I$21,0))/7))</f>
        <v>0</v>
      </c>
      <c r="AP248" s="665"/>
      <c r="AQ248" s="666"/>
      <c r="AR248" s="662" t="str">
        <f t="shared" ref="AR248" si="365">IF($AN$3="４週",AU249,AV249)</f>
        <v/>
      </c>
      <c r="AS248" s="662"/>
      <c r="AT248" s="671" t="str">
        <f t="shared" ref="AT248" si="366">IF(AX249&lt;=1.1,"",IF(AY249&lt;=1.1,"",IF(F248="","","勤務時間"&amp;CHAR(10)&amp;"OVER")))</f>
        <v/>
      </c>
      <c r="AU248" s="520" t="s">
        <v>630</v>
      </c>
      <c r="AV248" s="520" t="s">
        <v>631</v>
      </c>
      <c r="AX248" s="520" t="s">
        <v>632</v>
      </c>
      <c r="AY248" s="520" t="s">
        <v>633</v>
      </c>
    </row>
    <row r="249" spans="1:51" s="500" customFormat="1" ht="12" customHeight="1">
      <c r="A249" s="673"/>
      <c r="B249" s="676"/>
      <c r="C249" s="694"/>
      <c r="D249" s="682"/>
      <c r="E249" s="521"/>
      <c r="F249" s="686"/>
      <c r="G249" s="687"/>
      <c r="H249" s="522" t="s">
        <v>634</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91"/>
      <c r="AO249" s="663"/>
      <c r="AP249" s="667"/>
      <c r="AQ249" s="668"/>
      <c r="AR249" s="663"/>
      <c r="AS249" s="663"/>
      <c r="AT249" s="671"/>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4"/>
      <c r="B250" s="677"/>
      <c r="C250" s="695"/>
      <c r="D250" s="683"/>
      <c r="E250" s="521"/>
      <c r="F250" s="688"/>
      <c r="G250" s="689"/>
      <c r="H250" s="525" t="s">
        <v>635</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92"/>
      <c r="AO250" s="664"/>
      <c r="AP250" s="669"/>
      <c r="AQ250" s="670"/>
      <c r="AR250" s="664"/>
      <c r="AS250" s="664"/>
      <c r="AT250" s="671"/>
      <c r="AU250" s="527"/>
      <c r="AV250" s="527"/>
      <c r="AX250" s="527"/>
      <c r="AY250" s="527"/>
    </row>
    <row r="251" spans="1:51" s="500" customFormat="1" ht="12" customHeight="1">
      <c r="A251" s="672">
        <v>77</v>
      </c>
      <c r="B251" s="675"/>
      <c r="C251" s="693"/>
      <c r="D251" s="681" t="s">
        <v>628</v>
      </c>
      <c r="E251" s="517"/>
      <c r="F251" s="684"/>
      <c r="G251" s="685"/>
      <c r="H251" s="518" t="s">
        <v>629</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90">
        <f t="shared" ref="AN251" si="369">IF(LEFT($AN$1,6)="共同生活援助",SUM(I252:AM252),SUM(I252:AM253))</f>
        <v>0</v>
      </c>
      <c r="AO251" s="662">
        <f>IF($AN$3="４週",AN251/4,AN251/(DAY(EOMONTH($I$21,0))/7))</f>
        <v>0</v>
      </c>
      <c r="AP251" s="665"/>
      <c r="AQ251" s="666"/>
      <c r="AR251" s="662" t="str">
        <f t="shared" ref="AR251" si="370">IF($AN$3="４週",AU252,AV252)</f>
        <v/>
      </c>
      <c r="AS251" s="662"/>
      <c r="AT251" s="671" t="str">
        <f t="shared" ref="AT251" si="371">IF(AX252&lt;=1.1,"",IF(AY252&lt;=1.1,"",IF(F251="","","勤務時間"&amp;CHAR(10)&amp;"OVER")))</f>
        <v/>
      </c>
      <c r="AU251" s="520" t="s">
        <v>630</v>
      </c>
      <c r="AV251" s="520" t="s">
        <v>631</v>
      </c>
      <c r="AX251" s="520" t="s">
        <v>632</v>
      </c>
      <c r="AY251" s="520" t="s">
        <v>633</v>
      </c>
    </row>
    <row r="252" spans="1:51" s="500" customFormat="1" ht="12" customHeight="1">
      <c r="A252" s="673"/>
      <c r="B252" s="676"/>
      <c r="C252" s="694"/>
      <c r="D252" s="682"/>
      <c r="E252" s="521"/>
      <c r="F252" s="686"/>
      <c r="G252" s="687"/>
      <c r="H252" s="522" t="s">
        <v>634</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91"/>
      <c r="AO252" s="663"/>
      <c r="AP252" s="667"/>
      <c r="AQ252" s="668"/>
      <c r="AR252" s="663"/>
      <c r="AS252" s="663"/>
      <c r="AT252" s="671"/>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4"/>
      <c r="B253" s="677"/>
      <c r="C253" s="695"/>
      <c r="D253" s="683"/>
      <c r="E253" s="521"/>
      <c r="F253" s="688"/>
      <c r="G253" s="689"/>
      <c r="H253" s="525" t="s">
        <v>635</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92"/>
      <c r="AO253" s="664"/>
      <c r="AP253" s="669"/>
      <c r="AQ253" s="670"/>
      <c r="AR253" s="664"/>
      <c r="AS253" s="664"/>
      <c r="AT253" s="671"/>
      <c r="AU253" s="527"/>
      <c r="AV253" s="527"/>
      <c r="AX253" s="527"/>
      <c r="AY253" s="527"/>
    </row>
    <row r="254" spans="1:51" s="500" customFormat="1" ht="12" customHeight="1">
      <c r="A254" s="672">
        <v>78</v>
      </c>
      <c r="B254" s="675"/>
      <c r="C254" s="693"/>
      <c r="D254" s="681" t="s">
        <v>628</v>
      </c>
      <c r="E254" s="517"/>
      <c r="F254" s="684"/>
      <c r="G254" s="685"/>
      <c r="H254" s="518" t="s">
        <v>629</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90">
        <f t="shared" ref="AN254" si="374">IF(LEFT($AN$1,6)="共同生活援助",SUM(I255:AM255),SUM(I255:AM256))</f>
        <v>0</v>
      </c>
      <c r="AO254" s="662">
        <f>IF($AN$3="４週",AN254/4,AN254/(DAY(EOMONTH($I$21,0))/7))</f>
        <v>0</v>
      </c>
      <c r="AP254" s="665"/>
      <c r="AQ254" s="666"/>
      <c r="AR254" s="662" t="str">
        <f t="shared" ref="AR254" si="375">IF($AN$3="４週",AU255,AV255)</f>
        <v/>
      </c>
      <c r="AS254" s="662"/>
      <c r="AT254" s="671" t="str">
        <f t="shared" ref="AT254" si="376">IF(AX255&lt;=1.1,"",IF(AY255&lt;=1.1,"",IF(F254="","","勤務時間"&amp;CHAR(10)&amp;"OVER")))</f>
        <v/>
      </c>
      <c r="AU254" s="520" t="s">
        <v>630</v>
      </c>
      <c r="AV254" s="520" t="s">
        <v>631</v>
      </c>
      <c r="AX254" s="520" t="s">
        <v>632</v>
      </c>
      <c r="AY254" s="520" t="s">
        <v>633</v>
      </c>
    </row>
    <row r="255" spans="1:51" s="500" customFormat="1" ht="12" customHeight="1">
      <c r="A255" s="673"/>
      <c r="B255" s="676"/>
      <c r="C255" s="694"/>
      <c r="D255" s="682"/>
      <c r="E255" s="521"/>
      <c r="F255" s="686"/>
      <c r="G255" s="687"/>
      <c r="H255" s="522" t="s">
        <v>634</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91"/>
      <c r="AO255" s="663"/>
      <c r="AP255" s="667"/>
      <c r="AQ255" s="668"/>
      <c r="AR255" s="663"/>
      <c r="AS255" s="663"/>
      <c r="AT255" s="671"/>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4"/>
      <c r="B256" s="677"/>
      <c r="C256" s="695"/>
      <c r="D256" s="683"/>
      <c r="E256" s="521"/>
      <c r="F256" s="688"/>
      <c r="G256" s="689"/>
      <c r="H256" s="525" t="s">
        <v>635</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92"/>
      <c r="AO256" s="664"/>
      <c r="AP256" s="669"/>
      <c r="AQ256" s="670"/>
      <c r="AR256" s="664"/>
      <c r="AS256" s="664"/>
      <c r="AT256" s="671"/>
      <c r="AU256" s="527"/>
      <c r="AV256" s="527"/>
      <c r="AX256" s="527"/>
      <c r="AY256" s="527"/>
    </row>
    <row r="257" spans="1:51" s="500" customFormat="1" ht="12" customHeight="1">
      <c r="A257" s="672">
        <v>79</v>
      </c>
      <c r="B257" s="675"/>
      <c r="C257" s="693"/>
      <c r="D257" s="681" t="s">
        <v>628</v>
      </c>
      <c r="E257" s="517"/>
      <c r="F257" s="684"/>
      <c r="G257" s="685"/>
      <c r="H257" s="518" t="s">
        <v>629</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90">
        <f t="shared" ref="AN257" si="379">IF(LEFT($AN$1,6)="共同生活援助",SUM(I258:AM258),SUM(I258:AM259))</f>
        <v>0</v>
      </c>
      <c r="AO257" s="662">
        <f>IF($AN$3="４週",AN257/4,AN257/(DAY(EOMONTH($I$21,0))/7))</f>
        <v>0</v>
      </c>
      <c r="AP257" s="665"/>
      <c r="AQ257" s="666"/>
      <c r="AR257" s="662" t="str">
        <f t="shared" ref="AR257" si="380">IF($AN$3="４週",AU258,AV258)</f>
        <v/>
      </c>
      <c r="AS257" s="662"/>
      <c r="AT257" s="671" t="str">
        <f t="shared" ref="AT257" si="381">IF(AX258&lt;=1.1,"",IF(AY258&lt;=1.1,"",IF(F257="","","勤務時間"&amp;CHAR(10)&amp;"OVER")))</f>
        <v/>
      </c>
      <c r="AU257" s="520" t="s">
        <v>630</v>
      </c>
      <c r="AV257" s="520" t="s">
        <v>631</v>
      </c>
      <c r="AX257" s="520" t="s">
        <v>632</v>
      </c>
      <c r="AY257" s="520" t="s">
        <v>633</v>
      </c>
    </row>
    <row r="258" spans="1:51" s="500" customFormat="1" ht="12" customHeight="1">
      <c r="A258" s="673"/>
      <c r="B258" s="676"/>
      <c r="C258" s="694"/>
      <c r="D258" s="682"/>
      <c r="E258" s="521"/>
      <c r="F258" s="686"/>
      <c r="G258" s="687"/>
      <c r="H258" s="522" t="s">
        <v>634</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91"/>
      <c r="AO258" s="663"/>
      <c r="AP258" s="667"/>
      <c r="AQ258" s="668"/>
      <c r="AR258" s="663"/>
      <c r="AS258" s="663"/>
      <c r="AT258" s="671"/>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4"/>
      <c r="B259" s="677"/>
      <c r="C259" s="695"/>
      <c r="D259" s="683"/>
      <c r="E259" s="521"/>
      <c r="F259" s="688"/>
      <c r="G259" s="689"/>
      <c r="H259" s="525" t="s">
        <v>635</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92"/>
      <c r="AO259" s="664"/>
      <c r="AP259" s="669"/>
      <c r="AQ259" s="670"/>
      <c r="AR259" s="664"/>
      <c r="AS259" s="664"/>
      <c r="AT259" s="671"/>
      <c r="AU259" s="527"/>
      <c r="AV259" s="527"/>
      <c r="AX259" s="527"/>
      <c r="AY259" s="527"/>
    </row>
    <row r="260" spans="1:51" s="500" customFormat="1" ht="12" customHeight="1">
      <c r="A260" s="672">
        <v>80</v>
      </c>
      <c r="B260" s="675"/>
      <c r="C260" s="693"/>
      <c r="D260" s="681" t="s">
        <v>628</v>
      </c>
      <c r="E260" s="517"/>
      <c r="F260" s="684"/>
      <c r="G260" s="685"/>
      <c r="H260" s="518" t="s">
        <v>629</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90">
        <f t="shared" ref="AN260" si="384">IF(LEFT($AN$1,6)="共同生活援助",SUM(I261:AM261),SUM(I261:AM262))</f>
        <v>0</v>
      </c>
      <c r="AO260" s="662">
        <f>IF($AN$3="４週",AN260/4,AN260/(DAY(EOMONTH($I$21,0))/7))</f>
        <v>0</v>
      </c>
      <c r="AP260" s="665"/>
      <c r="AQ260" s="666"/>
      <c r="AR260" s="662" t="str">
        <f t="shared" ref="AR260" si="385">IF($AN$3="４週",AU261,AV261)</f>
        <v/>
      </c>
      <c r="AS260" s="662"/>
      <c r="AT260" s="671" t="str">
        <f t="shared" ref="AT260" si="386">IF(AX261&lt;=1.1,"",IF(AY261&lt;=1.1,"",IF(F260="","","勤務時間"&amp;CHAR(10)&amp;"OVER")))</f>
        <v/>
      </c>
      <c r="AU260" s="520" t="s">
        <v>630</v>
      </c>
      <c r="AV260" s="520" t="s">
        <v>631</v>
      </c>
      <c r="AX260" s="520" t="s">
        <v>632</v>
      </c>
      <c r="AY260" s="520" t="s">
        <v>633</v>
      </c>
    </row>
    <row r="261" spans="1:51" s="500" customFormat="1" ht="12" customHeight="1">
      <c r="A261" s="673"/>
      <c r="B261" s="676"/>
      <c r="C261" s="694"/>
      <c r="D261" s="682"/>
      <c r="E261" s="521"/>
      <c r="F261" s="686"/>
      <c r="G261" s="687"/>
      <c r="H261" s="522" t="s">
        <v>634</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91"/>
      <c r="AO261" s="663"/>
      <c r="AP261" s="667"/>
      <c r="AQ261" s="668"/>
      <c r="AR261" s="663"/>
      <c r="AS261" s="663"/>
      <c r="AT261" s="671"/>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4"/>
      <c r="B262" s="677"/>
      <c r="C262" s="695"/>
      <c r="D262" s="683"/>
      <c r="E262" s="521"/>
      <c r="F262" s="688"/>
      <c r="G262" s="689"/>
      <c r="H262" s="525" t="s">
        <v>635</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92"/>
      <c r="AO262" s="664"/>
      <c r="AP262" s="669"/>
      <c r="AQ262" s="670"/>
      <c r="AR262" s="664"/>
      <c r="AS262" s="664"/>
      <c r="AT262" s="671"/>
      <c r="AU262" s="527"/>
      <c r="AV262" s="527"/>
      <c r="AX262" s="527"/>
      <c r="AY262" s="527"/>
    </row>
    <row r="263" spans="1:51" s="500" customFormat="1" ht="12" customHeight="1">
      <c r="A263" s="672">
        <v>81</v>
      </c>
      <c r="B263" s="675"/>
      <c r="C263" s="693"/>
      <c r="D263" s="681" t="s">
        <v>628</v>
      </c>
      <c r="E263" s="517"/>
      <c r="F263" s="684"/>
      <c r="G263" s="685"/>
      <c r="H263" s="518" t="s">
        <v>629</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90">
        <f t="shared" ref="AN263" si="389">IF(LEFT($AN$1,6)="共同生活援助",SUM(I264:AM264),SUM(I264:AM265))</f>
        <v>0</v>
      </c>
      <c r="AO263" s="662">
        <f>IF($AN$3="４週",AN263/4,AN263/(DAY(EOMONTH($I$21,0))/7))</f>
        <v>0</v>
      </c>
      <c r="AP263" s="665"/>
      <c r="AQ263" s="666"/>
      <c r="AR263" s="662" t="str">
        <f t="shared" ref="AR263" si="390">IF($AN$3="４週",AU264,AV264)</f>
        <v/>
      </c>
      <c r="AS263" s="662"/>
      <c r="AT263" s="671" t="str">
        <f t="shared" ref="AT263" si="391">IF(AX264&lt;=1.1,"",IF(AY264&lt;=1.1,"",IF(F263="","","勤務時間"&amp;CHAR(10)&amp;"OVER")))</f>
        <v/>
      </c>
      <c r="AU263" s="520" t="s">
        <v>630</v>
      </c>
      <c r="AV263" s="520" t="s">
        <v>631</v>
      </c>
      <c r="AX263" s="520" t="s">
        <v>632</v>
      </c>
      <c r="AY263" s="520" t="s">
        <v>633</v>
      </c>
    </row>
    <row r="264" spans="1:51" s="500" customFormat="1" ht="12" customHeight="1">
      <c r="A264" s="673"/>
      <c r="B264" s="676"/>
      <c r="C264" s="694"/>
      <c r="D264" s="682"/>
      <c r="E264" s="521"/>
      <c r="F264" s="686"/>
      <c r="G264" s="687"/>
      <c r="H264" s="522" t="s">
        <v>634</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91"/>
      <c r="AO264" s="663"/>
      <c r="AP264" s="667"/>
      <c r="AQ264" s="668"/>
      <c r="AR264" s="663"/>
      <c r="AS264" s="663"/>
      <c r="AT264" s="671"/>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4"/>
      <c r="B265" s="677"/>
      <c r="C265" s="695"/>
      <c r="D265" s="683"/>
      <c r="E265" s="521"/>
      <c r="F265" s="688"/>
      <c r="G265" s="689"/>
      <c r="H265" s="525" t="s">
        <v>635</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92"/>
      <c r="AO265" s="664"/>
      <c r="AP265" s="669"/>
      <c r="AQ265" s="670"/>
      <c r="AR265" s="664"/>
      <c r="AS265" s="664"/>
      <c r="AT265" s="671"/>
      <c r="AU265" s="527"/>
      <c r="AV265" s="527"/>
      <c r="AX265" s="527"/>
      <c r="AY265" s="527"/>
    </row>
    <row r="266" spans="1:51" s="500" customFormat="1" ht="12" customHeight="1">
      <c r="A266" s="672">
        <v>82</v>
      </c>
      <c r="B266" s="675"/>
      <c r="C266" s="693"/>
      <c r="D266" s="681" t="s">
        <v>628</v>
      </c>
      <c r="E266" s="517"/>
      <c r="F266" s="684"/>
      <c r="G266" s="685"/>
      <c r="H266" s="518" t="s">
        <v>629</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90">
        <f t="shared" ref="AN266" si="394">IF(LEFT($AN$1,6)="共同生活援助",SUM(I267:AM267),SUM(I267:AM268))</f>
        <v>0</v>
      </c>
      <c r="AO266" s="662">
        <f>IF($AN$3="４週",AN266/4,AN266/(DAY(EOMONTH($I$21,0))/7))</f>
        <v>0</v>
      </c>
      <c r="AP266" s="665"/>
      <c r="AQ266" s="666"/>
      <c r="AR266" s="662" t="str">
        <f t="shared" ref="AR266" si="395">IF($AN$3="４週",AU267,AV267)</f>
        <v/>
      </c>
      <c r="AS266" s="662"/>
      <c r="AT266" s="671" t="str">
        <f t="shared" ref="AT266" si="396">IF(AX267&lt;=1.1,"",IF(AY267&lt;=1.1,"",IF(F266="","","勤務時間"&amp;CHAR(10)&amp;"OVER")))</f>
        <v/>
      </c>
      <c r="AU266" s="520" t="s">
        <v>630</v>
      </c>
      <c r="AV266" s="520" t="s">
        <v>631</v>
      </c>
      <c r="AX266" s="520" t="s">
        <v>632</v>
      </c>
      <c r="AY266" s="520" t="s">
        <v>633</v>
      </c>
    </row>
    <row r="267" spans="1:51" s="500" customFormat="1" ht="12" customHeight="1">
      <c r="A267" s="673"/>
      <c r="B267" s="676"/>
      <c r="C267" s="694"/>
      <c r="D267" s="682"/>
      <c r="E267" s="521"/>
      <c r="F267" s="686"/>
      <c r="G267" s="687"/>
      <c r="H267" s="522" t="s">
        <v>634</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91"/>
      <c r="AO267" s="663"/>
      <c r="AP267" s="667"/>
      <c r="AQ267" s="668"/>
      <c r="AR267" s="663"/>
      <c r="AS267" s="663"/>
      <c r="AT267" s="671"/>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4"/>
      <c r="B268" s="677"/>
      <c r="C268" s="695"/>
      <c r="D268" s="683"/>
      <c r="E268" s="521"/>
      <c r="F268" s="688"/>
      <c r="G268" s="689"/>
      <c r="H268" s="525" t="s">
        <v>635</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92"/>
      <c r="AO268" s="664"/>
      <c r="AP268" s="669"/>
      <c r="AQ268" s="670"/>
      <c r="AR268" s="664"/>
      <c r="AS268" s="664"/>
      <c r="AT268" s="671"/>
      <c r="AU268" s="527"/>
      <c r="AV268" s="527"/>
      <c r="AX268" s="527"/>
      <c r="AY268" s="527"/>
    </row>
    <row r="269" spans="1:51" s="500" customFormat="1" ht="12" customHeight="1">
      <c r="A269" s="672">
        <v>83</v>
      </c>
      <c r="B269" s="675"/>
      <c r="C269" s="693"/>
      <c r="D269" s="681" t="s">
        <v>628</v>
      </c>
      <c r="E269" s="517"/>
      <c r="F269" s="684"/>
      <c r="G269" s="685"/>
      <c r="H269" s="518" t="s">
        <v>629</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90">
        <f t="shared" ref="AN269" si="399">IF(LEFT($AN$1,6)="共同生活援助",SUM(I270:AM270),SUM(I270:AM271))</f>
        <v>0</v>
      </c>
      <c r="AO269" s="662">
        <f>IF($AN$3="４週",AN269/4,AN269/(DAY(EOMONTH($I$21,0))/7))</f>
        <v>0</v>
      </c>
      <c r="AP269" s="665"/>
      <c r="AQ269" s="666"/>
      <c r="AR269" s="662" t="str">
        <f t="shared" ref="AR269" si="400">IF($AN$3="４週",AU270,AV270)</f>
        <v/>
      </c>
      <c r="AS269" s="662"/>
      <c r="AT269" s="671" t="str">
        <f t="shared" ref="AT269" si="401">IF(AX270&lt;=1.1,"",IF(AY270&lt;=1.1,"",IF(F269="","","勤務時間"&amp;CHAR(10)&amp;"OVER")))</f>
        <v/>
      </c>
      <c r="AU269" s="520" t="s">
        <v>630</v>
      </c>
      <c r="AV269" s="520" t="s">
        <v>631</v>
      </c>
      <c r="AX269" s="520" t="s">
        <v>632</v>
      </c>
      <c r="AY269" s="520" t="s">
        <v>633</v>
      </c>
    </row>
    <row r="270" spans="1:51" s="500" customFormat="1" ht="12" customHeight="1">
      <c r="A270" s="673"/>
      <c r="B270" s="676"/>
      <c r="C270" s="694"/>
      <c r="D270" s="682"/>
      <c r="E270" s="521"/>
      <c r="F270" s="686"/>
      <c r="G270" s="687"/>
      <c r="H270" s="522" t="s">
        <v>634</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91"/>
      <c r="AO270" s="663"/>
      <c r="AP270" s="667"/>
      <c r="AQ270" s="668"/>
      <c r="AR270" s="663"/>
      <c r="AS270" s="663"/>
      <c r="AT270" s="671"/>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4"/>
      <c r="B271" s="677"/>
      <c r="C271" s="695"/>
      <c r="D271" s="683"/>
      <c r="E271" s="521"/>
      <c r="F271" s="688"/>
      <c r="G271" s="689"/>
      <c r="H271" s="525" t="s">
        <v>635</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92"/>
      <c r="AO271" s="664"/>
      <c r="AP271" s="669"/>
      <c r="AQ271" s="670"/>
      <c r="AR271" s="664"/>
      <c r="AS271" s="664"/>
      <c r="AT271" s="671"/>
      <c r="AU271" s="527"/>
      <c r="AV271" s="527"/>
      <c r="AX271" s="527"/>
      <c r="AY271" s="527"/>
    </row>
    <row r="272" spans="1:51" s="500" customFormat="1" ht="12" customHeight="1">
      <c r="A272" s="672">
        <v>84</v>
      </c>
      <c r="B272" s="675"/>
      <c r="C272" s="693"/>
      <c r="D272" s="681" t="s">
        <v>628</v>
      </c>
      <c r="E272" s="517"/>
      <c r="F272" s="684"/>
      <c r="G272" s="685"/>
      <c r="H272" s="518" t="s">
        <v>629</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90">
        <f t="shared" ref="AN272" si="404">IF(LEFT($AN$1,6)="共同生活援助",SUM(I273:AM273),SUM(I273:AM274))</f>
        <v>0</v>
      </c>
      <c r="AO272" s="662">
        <f>IF($AN$3="４週",AN272/4,AN272/(DAY(EOMONTH($I$21,0))/7))</f>
        <v>0</v>
      </c>
      <c r="AP272" s="665"/>
      <c r="AQ272" s="666"/>
      <c r="AR272" s="662" t="str">
        <f t="shared" ref="AR272" si="405">IF($AN$3="４週",AU273,AV273)</f>
        <v/>
      </c>
      <c r="AS272" s="662"/>
      <c r="AT272" s="671" t="str">
        <f t="shared" ref="AT272" si="406">IF(AX273&lt;=1.1,"",IF(AY273&lt;=1.1,"",IF(F272="","","勤務時間"&amp;CHAR(10)&amp;"OVER")))</f>
        <v/>
      </c>
      <c r="AU272" s="520" t="s">
        <v>630</v>
      </c>
      <c r="AV272" s="520" t="s">
        <v>631</v>
      </c>
      <c r="AX272" s="520" t="s">
        <v>632</v>
      </c>
      <c r="AY272" s="520" t="s">
        <v>633</v>
      </c>
    </row>
    <row r="273" spans="1:51" s="500" customFormat="1" ht="12" customHeight="1">
      <c r="A273" s="673"/>
      <c r="B273" s="676"/>
      <c r="C273" s="694"/>
      <c r="D273" s="682"/>
      <c r="E273" s="521"/>
      <c r="F273" s="686"/>
      <c r="G273" s="687"/>
      <c r="H273" s="522" t="s">
        <v>634</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91"/>
      <c r="AO273" s="663"/>
      <c r="AP273" s="667"/>
      <c r="AQ273" s="668"/>
      <c r="AR273" s="663"/>
      <c r="AS273" s="663"/>
      <c r="AT273" s="671"/>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4"/>
      <c r="B274" s="677"/>
      <c r="C274" s="695"/>
      <c r="D274" s="683"/>
      <c r="E274" s="521"/>
      <c r="F274" s="688"/>
      <c r="G274" s="689"/>
      <c r="H274" s="525" t="s">
        <v>635</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92"/>
      <c r="AO274" s="664"/>
      <c r="AP274" s="669"/>
      <c r="AQ274" s="670"/>
      <c r="AR274" s="664"/>
      <c r="AS274" s="664"/>
      <c r="AT274" s="671"/>
      <c r="AU274" s="527"/>
      <c r="AV274" s="527"/>
      <c r="AX274" s="527"/>
      <c r="AY274" s="527"/>
    </row>
    <row r="275" spans="1:51" s="500" customFormat="1" ht="12" customHeight="1">
      <c r="A275" s="672">
        <v>85</v>
      </c>
      <c r="B275" s="675"/>
      <c r="C275" s="693"/>
      <c r="D275" s="681" t="s">
        <v>628</v>
      </c>
      <c r="E275" s="517"/>
      <c r="F275" s="684"/>
      <c r="G275" s="685"/>
      <c r="H275" s="518" t="s">
        <v>629</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90">
        <f t="shared" ref="AN275" si="409">IF(LEFT($AN$1,6)="共同生活援助",SUM(I276:AM276),SUM(I276:AM277))</f>
        <v>0</v>
      </c>
      <c r="AO275" s="662">
        <f>IF($AN$3="４週",AN275/4,AN275/(DAY(EOMONTH($I$21,0))/7))</f>
        <v>0</v>
      </c>
      <c r="AP275" s="665"/>
      <c r="AQ275" s="666"/>
      <c r="AR275" s="662" t="str">
        <f t="shared" ref="AR275" si="410">IF($AN$3="４週",AU276,AV276)</f>
        <v/>
      </c>
      <c r="AS275" s="662"/>
      <c r="AT275" s="671" t="str">
        <f t="shared" ref="AT275" si="411">IF(AX276&lt;=1.1,"",IF(AY276&lt;=1.1,"",IF(F275="","","勤務時間"&amp;CHAR(10)&amp;"OVER")))</f>
        <v/>
      </c>
      <c r="AU275" s="520" t="s">
        <v>630</v>
      </c>
      <c r="AV275" s="520" t="s">
        <v>631</v>
      </c>
      <c r="AX275" s="520" t="s">
        <v>632</v>
      </c>
      <c r="AY275" s="520" t="s">
        <v>633</v>
      </c>
    </row>
    <row r="276" spans="1:51" s="500" customFormat="1" ht="12" customHeight="1">
      <c r="A276" s="673"/>
      <c r="B276" s="676"/>
      <c r="C276" s="694"/>
      <c r="D276" s="682"/>
      <c r="E276" s="521"/>
      <c r="F276" s="686"/>
      <c r="G276" s="687"/>
      <c r="H276" s="522" t="s">
        <v>634</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91"/>
      <c r="AO276" s="663"/>
      <c r="AP276" s="667"/>
      <c r="AQ276" s="668"/>
      <c r="AR276" s="663"/>
      <c r="AS276" s="663"/>
      <c r="AT276" s="671"/>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4"/>
      <c r="B277" s="677"/>
      <c r="C277" s="695"/>
      <c r="D277" s="683"/>
      <c r="E277" s="521"/>
      <c r="F277" s="688"/>
      <c r="G277" s="689"/>
      <c r="H277" s="525" t="s">
        <v>635</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92"/>
      <c r="AO277" s="664"/>
      <c r="AP277" s="669"/>
      <c r="AQ277" s="670"/>
      <c r="AR277" s="664"/>
      <c r="AS277" s="664"/>
      <c r="AT277" s="671"/>
      <c r="AU277" s="527"/>
      <c r="AV277" s="527"/>
      <c r="AX277" s="527"/>
      <c r="AY277" s="527"/>
    </row>
    <row r="278" spans="1:51" s="500" customFormat="1" ht="12" customHeight="1">
      <c r="A278" s="672">
        <v>86</v>
      </c>
      <c r="B278" s="675"/>
      <c r="C278" s="693"/>
      <c r="D278" s="681" t="s">
        <v>628</v>
      </c>
      <c r="E278" s="517"/>
      <c r="F278" s="684"/>
      <c r="G278" s="685"/>
      <c r="H278" s="518" t="s">
        <v>629</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90">
        <f t="shared" ref="AN278" si="414">IF(LEFT($AN$1,6)="共同生活援助",SUM(I279:AM279),SUM(I279:AM280))</f>
        <v>0</v>
      </c>
      <c r="AO278" s="662">
        <f>IF($AN$3="４週",AN278/4,AN278/(DAY(EOMONTH($I$21,0))/7))</f>
        <v>0</v>
      </c>
      <c r="AP278" s="665"/>
      <c r="AQ278" s="666"/>
      <c r="AR278" s="662" t="str">
        <f t="shared" ref="AR278" si="415">IF($AN$3="４週",AU279,AV279)</f>
        <v/>
      </c>
      <c r="AS278" s="662"/>
      <c r="AT278" s="671" t="str">
        <f t="shared" ref="AT278" si="416">IF(AX279&lt;=1.1,"",IF(AY279&lt;=1.1,"",IF(F278="","","勤務時間"&amp;CHAR(10)&amp;"OVER")))</f>
        <v/>
      </c>
      <c r="AU278" s="520" t="s">
        <v>630</v>
      </c>
      <c r="AV278" s="520" t="s">
        <v>631</v>
      </c>
      <c r="AX278" s="520" t="s">
        <v>632</v>
      </c>
      <c r="AY278" s="520" t="s">
        <v>633</v>
      </c>
    </row>
    <row r="279" spans="1:51" s="500" customFormat="1" ht="12" customHeight="1">
      <c r="A279" s="673"/>
      <c r="B279" s="676"/>
      <c r="C279" s="694"/>
      <c r="D279" s="682"/>
      <c r="E279" s="521"/>
      <c r="F279" s="686"/>
      <c r="G279" s="687"/>
      <c r="H279" s="522" t="s">
        <v>634</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91"/>
      <c r="AO279" s="663"/>
      <c r="AP279" s="667"/>
      <c r="AQ279" s="668"/>
      <c r="AR279" s="663"/>
      <c r="AS279" s="663"/>
      <c r="AT279" s="671"/>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4"/>
      <c r="B280" s="677"/>
      <c r="C280" s="695"/>
      <c r="D280" s="683"/>
      <c r="E280" s="521"/>
      <c r="F280" s="688"/>
      <c r="G280" s="689"/>
      <c r="H280" s="525" t="s">
        <v>635</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92"/>
      <c r="AO280" s="664"/>
      <c r="AP280" s="669"/>
      <c r="AQ280" s="670"/>
      <c r="AR280" s="664"/>
      <c r="AS280" s="664"/>
      <c r="AT280" s="671"/>
      <c r="AU280" s="527"/>
      <c r="AV280" s="527"/>
      <c r="AX280" s="527"/>
      <c r="AY280" s="527"/>
    </row>
    <row r="281" spans="1:51" s="500" customFormat="1" ht="12" customHeight="1">
      <c r="A281" s="672">
        <v>87</v>
      </c>
      <c r="B281" s="675"/>
      <c r="C281" s="693"/>
      <c r="D281" s="681" t="s">
        <v>628</v>
      </c>
      <c r="E281" s="517"/>
      <c r="F281" s="684"/>
      <c r="G281" s="685"/>
      <c r="H281" s="518" t="s">
        <v>629</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90">
        <f t="shared" ref="AN281" si="419">IF(LEFT($AN$1,6)="共同生活援助",SUM(I282:AM282),SUM(I282:AM283))</f>
        <v>0</v>
      </c>
      <c r="AO281" s="662">
        <f>IF($AN$3="４週",AN281/4,AN281/(DAY(EOMONTH($I$21,0))/7))</f>
        <v>0</v>
      </c>
      <c r="AP281" s="665"/>
      <c r="AQ281" s="666"/>
      <c r="AR281" s="662" t="str">
        <f t="shared" ref="AR281" si="420">IF($AN$3="４週",AU282,AV282)</f>
        <v/>
      </c>
      <c r="AS281" s="662"/>
      <c r="AT281" s="671" t="str">
        <f t="shared" ref="AT281" si="421">IF(AX282&lt;=1.1,"",IF(AY282&lt;=1.1,"",IF(F281="","","勤務時間"&amp;CHAR(10)&amp;"OVER")))</f>
        <v/>
      </c>
      <c r="AU281" s="520" t="s">
        <v>630</v>
      </c>
      <c r="AV281" s="520" t="s">
        <v>631</v>
      </c>
      <c r="AX281" s="520" t="s">
        <v>632</v>
      </c>
      <c r="AY281" s="520" t="s">
        <v>633</v>
      </c>
    </row>
    <row r="282" spans="1:51" s="500" customFormat="1" ht="12" customHeight="1">
      <c r="A282" s="673"/>
      <c r="B282" s="676"/>
      <c r="C282" s="694"/>
      <c r="D282" s="682"/>
      <c r="E282" s="521"/>
      <c r="F282" s="686"/>
      <c r="G282" s="687"/>
      <c r="H282" s="522" t="s">
        <v>634</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91"/>
      <c r="AO282" s="663"/>
      <c r="AP282" s="667"/>
      <c r="AQ282" s="668"/>
      <c r="AR282" s="663"/>
      <c r="AS282" s="663"/>
      <c r="AT282" s="671"/>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4"/>
      <c r="B283" s="677"/>
      <c r="C283" s="695"/>
      <c r="D283" s="683"/>
      <c r="E283" s="521"/>
      <c r="F283" s="688"/>
      <c r="G283" s="689"/>
      <c r="H283" s="525" t="s">
        <v>635</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92"/>
      <c r="AO283" s="664"/>
      <c r="AP283" s="669"/>
      <c r="AQ283" s="670"/>
      <c r="AR283" s="664"/>
      <c r="AS283" s="664"/>
      <c r="AT283" s="671"/>
      <c r="AU283" s="527"/>
      <c r="AV283" s="527"/>
      <c r="AX283" s="527"/>
      <c r="AY283" s="527"/>
    </row>
    <row r="284" spans="1:51" s="500" customFormat="1" ht="12" customHeight="1">
      <c r="A284" s="672">
        <v>88</v>
      </c>
      <c r="B284" s="675"/>
      <c r="C284" s="678"/>
      <c r="D284" s="681" t="s">
        <v>628</v>
      </c>
      <c r="E284" s="517"/>
      <c r="F284" s="684"/>
      <c r="G284" s="685"/>
      <c r="H284" s="518" t="s">
        <v>629</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90">
        <f t="shared" ref="AN284" si="424">IF(LEFT($AN$1,6)="共同生活援助",SUM(I285:AM285),SUM(I285:AM286))</f>
        <v>0</v>
      </c>
      <c r="AO284" s="662">
        <f>IF($AN$3="４週",AN284/4,AN284/(DAY(EOMONTH($I$21,0))/7))</f>
        <v>0</v>
      </c>
      <c r="AP284" s="665"/>
      <c r="AQ284" s="666"/>
      <c r="AR284" s="662" t="str">
        <f t="shared" ref="AR284" si="425">IF($AN$3="４週",AU285,AV285)</f>
        <v/>
      </c>
      <c r="AS284" s="662"/>
      <c r="AT284" s="671" t="str">
        <f t="shared" ref="AT284" si="426">IF(AX285&lt;=1.1,"",IF(AY285&lt;=1.1,"",IF(F284="","","勤務時間"&amp;CHAR(10)&amp;"OVER")))</f>
        <v/>
      </c>
      <c r="AU284" s="520" t="s">
        <v>630</v>
      </c>
      <c r="AV284" s="520" t="s">
        <v>631</v>
      </c>
      <c r="AX284" s="520" t="s">
        <v>632</v>
      </c>
      <c r="AY284" s="520" t="s">
        <v>633</v>
      </c>
    </row>
    <row r="285" spans="1:51" s="500" customFormat="1" ht="12" customHeight="1">
      <c r="A285" s="673"/>
      <c r="B285" s="676"/>
      <c r="C285" s="679"/>
      <c r="D285" s="682"/>
      <c r="E285" s="521"/>
      <c r="F285" s="686"/>
      <c r="G285" s="687"/>
      <c r="H285" s="522" t="s">
        <v>634</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91"/>
      <c r="AO285" s="663"/>
      <c r="AP285" s="667"/>
      <c r="AQ285" s="668"/>
      <c r="AR285" s="663"/>
      <c r="AS285" s="663"/>
      <c r="AT285" s="671"/>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4"/>
      <c r="B286" s="677"/>
      <c r="C286" s="680"/>
      <c r="D286" s="683"/>
      <c r="E286" s="521"/>
      <c r="F286" s="688"/>
      <c r="G286" s="689"/>
      <c r="H286" s="525" t="s">
        <v>635</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92"/>
      <c r="AO286" s="664"/>
      <c r="AP286" s="669"/>
      <c r="AQ286" s="670"/>
      <c r="AR286" s="664"/>
      <c r="AS286" s="664"/>
      <c r="AT286" s="671"/>
      <c r="AU286" s="527"/>
      <c r="AV286" s="527"/>
      <c r="AX286" s="527"/>
      <c r="AY286" s="527"/>
    </row>
    <row r="287" spans="1:51" s="500" customFormat="1" ht="12" customHeight="1">
      <c r="A287" s="672">
        <v>89</v>
      </c>
      <c r="B287" s="675"/>
      <c r="C287" s="693"/>
      <c r="D287" s="681" t="s">
        <v>628</v>
      </c>
      <c r="E287" s="517"/>
      <c r="F287" s="684"/>
      <c r="G287" s="685"/>
      <c r="H287" s="518" t="s">
        <v>629</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90">
        <f t="shared" ref="AN287" si="429">IF(LEFT($AN$1,6)="共同生活援助",SUM(I288:AM288),SUM(I288:AM289))</f>
        <v>0</v>
      </c>
      <c r="AO287" s="662">
        <f>IF($AN$3="４週",AN287/4,AN287/(DAY(EOMONTH($I$21,0))/7))</f>
        <v>0</v>
      </c>
      <c r="AP287" s="665"/>
      <c r="AQ287" s="666"/>
      <c r="AR287" s="662" t="str">
        <f t="shared" ref="AR287" si="430">IF($AN$3="４週",AU288,AV288)</f>
        <v/>
      </c>
      <c r="AS287" s="662"/>
      <c r="AT287" s="671" t="str">
        <f t="shared" ref="AT287" si="431">IF(AX288&lt;=1.1,"",IF(AY288&lt;=1.1,"",IF(F287="","","勤務時間"&amp;CHAR(10)&amp;"OVER")))</f>
        <v/>
      </c>
      <c r="AU287" s="520" t="s">
        <v>630</v>
      </c>
      <c r="AV287" s="520" t="s">
        <v>631</v>
      </c>
      <c r="AX287" s="520" t="s">
        <v>632</v>
      </c>
      <c r="AY287" s="520" t="s">
        <v>633</v>
      </c>
    </row>
    <row r="288" spans="1:51" s="500" customFormat="1" ht="12" customHeight="1">
      <c r="A288" s="673"/>
      <c r="B288" s="676"/>
      <c r="C288" s="694"/>
      <c r="D288" s="682"/>
      <c r="E288" s="521"/>
      <c r="F288" s="686"/>
      <c r="G288" s="687"/>
      <c r="H288" s="522" t="s">
        <v>634</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91"/>
      <c r="AO288" s="663"/>
      <c r="AP288" s="667"/>
      <c r="AQ288" s="668"/>
      <c r="AR288" s="663"/>
      <c r="AS288" s="663"/>
      <c r="AT288" s="671"/>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4"/>
      <c r="B289" s="677"/>
      <c r="C289" s="695"/>
      <c r="D289" s="683"/>
      <c r="E289" s="521"/>
      <c r="F289" s="688"/>
      <c r="G289" s="689"/>
      <c r="H289" s="525" t="s">
        <v>635</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92"/>
      <c r="AO289" s="664"/>
      <c r="AP289" s="669"/>
      <c r="AQ289" s="670"/>
      <c r="AR289" s="664"/>
      <c r="AS289" s="664"/>
      <c r="AT289" s="671"/>
      <c r="AU289" s="527"/>
      <c r="AV289" s="527"/>
      <c r="AX289" s="527"/>
      <c r="AY289" s="527"/>
    </row>
    <row r="290" spans="1:51" s="500" customFormat="1" ht="12" customHeight="1">
      <c r="A290" s="672">
        <v>90</v>
      </c>
      <c r="B290" s="675"/>
      <c r="C290" s="693"/>
      <c r="D290" s="681" t="s">
        <v>628</v>
      </c>
      <c r="E290" s="517"/>
      <c r="F290" s="684"/>
      <c r="G290" s="685"/>
      <c r="H290" s="518" t="s">
        <v>629</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90">
        <f t="shared" ref="AN290" si="434">IF(LEFT($AN$1,6)="共同生活援助",SUM(I291:AM291),SUM(I291:AM292))</f>
        <v>0</v>
      </c>
      <c r="AO290" s="662">
        <f>IF($AN$3="４週",AN290/4,AN290/(DAY(EOMONTH($I$21,0))/7))</f>
        <v>0</v>
      </c>
      <c r="AP290" s="665"/>
      <c r="AQ290" s="666"/>
      <c r="AR290" s="662" t="str">
        <f t="shared" ref="AR290" si="435">IF($AN$3="４週",AU291,AV291)</f>
        <v/>
      </c>
      <c r="AS290" s="662"/>
      <c r="AT290" s="671" t="str">
        <f t="shared" ref="AT290" si="436">IF(AX291&lt;=1.1,"",IF(AY291&lt;=1.1,"",IF(F290="","","勤務時間"&amp;CHAR(10)&amp;"OVER")))</f>
        <v/>
      </c>
      <c r="AU290" s="520" t="s">
        <v>630</v>
      </c>
      <c r="AV290" s="520" t="s">
        <v>631</v>
      </c>
      <c r="AX290" s="520" t="s">
        <v>632</v>
      </c>
      <c r="AY290" s="520" t="s">
        <v>633</v>
      </c>
    </row>
    <row r="291" spans="1:51" s="500" customFormat="1" ht="12" customHeight="1">
      <c r="A291" s="673"/>
      <c r="B291" s="676"/>
      <c r="C291" s="694"/>
      <c r="D291" s="682"/>
      <c r="E291" s="521"/>
      <c r="F291" s="686"/>
      <c r="G291" s="687"/>
      <c r="H291" s="522" t="s">
        <v>634</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91"/>
      <c r="AO291" s="663"/>
      <c r="AP291" s="667"/>
      <c r="AQ291" s="668"/>
      <c r="AR291" s="663"/>
      <c r="AS291" s="663"/>
      <c r="AT291" s="671"/>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4"/>
      <c r="B292" s="677"/>
      <c r="C292" s="695"/>
      <c r="D292" s="683"/>
      <c r="E292" s="521"/>
      <c r="F292" s="688"/>
      <c r="G292" s="689"/>
      <c r="H292" s="525" t="s">
        <v>635</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92"/>
      <c r="AO292" s="664"/>
      <c r="AP292" s="669"/>
      <c r="AQ292" s="670"/>
      <c r="AR292" s="664"/>
      <c r="AS292" s="664"/>
      <c r="AT292" s="671"/>
      <c r="AU292" s="527"/>
      <c r="AV292" s="527"/>
      <c r="AX292" s="527"/>
      <c r="AY292" s="527"/>
    </row>
    <row r="293" spans="1:51" s="500" customFormat="1" ht="12" customHeight="1">
      <c r="A293" s="672">
        <v>91</v>
      </c>
      <c r="B293" s="675"/>
      <c r="C293" s="693"/>
      <c r="D293" s="681" t="s">
        <v>628</v>
      </c>
      <c r="E293" s="517"/>
      <c r="F293" s="684"/>
      <c r="G293" s="685"/>
      <c r="H293" s="518" t="s">
        <v>629</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90">
        <f t="shared" ref="AN293" si="439">IF(LEFT($AN$1,6)="共同生活援助",SUM(I294:AM294),SUM(I294:AM295))</f>
        <v>0</v>
      </c>
      <c r="AO293" s="662">
        <f>IF($AN$3="４週",AN293/4,AN293/(DAY(EOMONTH($I$21,0))/7))</f>
        <v>0</v>
      </c>
      <c r="AP293" s="665"/>
      <c r="AQ293" s="666"/>
      <c r="AR293" s="662" t="str">
        <f t="shared" ref="AR293" si="440">IF($AN$3="４週",AU294,AV294)</f>
        <v/>
      </c>
      <c r="AS293" s="662"/>
      <c r="AT293" s="671" t="str">
        <f t="shared" ref="AT293" si="441">IF(AX294&lt;=1.1,"",IF(AY294&lt;=1.1,"",IF(F293="","","勤務時間"&amp;CHAR(10)&amp;"OVER")))</f>
        <v/>
      </c>
      <c r="AU293" s="520" t="s">
        <v>630</v>
      </c>
      <c r="AV293" s="520" t="s">
        <v>631</v>
      </c>
      <c r="AX293" s="520" t="s">
        <v>632</v>
      </c>
      <c r="AY293" s="520" t="s">
        <v>633</v>
      </c>
    </row>
    <row r="294" spans="1:51" s="500" customFormat="1" ht="12" customHeight="1">
      <c r="A294" s="673"/>
      <c r="B294" s="676"/>
      <c r="C294" s="694"/>
      <c r="D294" s="682"/>
      <c r="E294" s="521"/>
      <c r="F294" s="686"/>
      <c r="G294" s="687"/>
      <c r="H294" s="522" t="s">
        <v>634</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91"/>
      <c r="AO294" s="663"/>
      <c r="AP294" s="667"/>
      <c r="AQ294" s="668"/>
      <c r="AR294" s="663"/>
      <c r="AS294" s="663"/>
      <c r="AT294" s="671"/>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4"/>
      <c r="B295" s="677"/>
      <c r="C295" s="695"/>
      <c r="D295" s="683"/>
      <c r="E295" s="521"/>
      <c r="F295" s="688"/>
      <c r="G295" s="689"/>
      <c r="H295" s="525" t="s">
        <v>635</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92"/>
      <c r="AO295" s="664"/>
      <c r="AP295" s="669"/>
      <c r="AQ295" s="670"/>
      <c r="AR295" s="664"/>
      <c r="AS295" s="664"/>
      <c r="AT295" s="671"/>
      <c r="AU295" s="527"/>
      <c r="AV295" s="527"/>
      <c r="AX295" s="527"/>
      <c r="AY295" s="527"/>
    </row>
    <row r="296" spans="1:51" s="500" customFormat="1" ht="12" customHeight="1">
      <c r="A296" s="672">
        <v>92</v>
      </c>
      <c r="B296" s="675"/>
      <c r="C296" s="693"/>
      <c r="D296" s="681" t="s">
        <v>628</v>
      </c>
      <c r="E296" s="517"/>
      <c r="F296" s="684"/>
      <c r="G296" s="685"/>
      <c r="H296" s="518" t="s">
        <v>629</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90">
        <f t="shared" ref="AN296" si="444">IF(LEFT($AN$1,6)="共同生活援助",SUM(I297:AM297),SUM(I297:AM298))</f>
        <v>0</v>
      </c>
      <c r="AO296" s="662">
        <f>IF($AN$3="４週",AN296/4,AN296/(DAY(EOMONTH($I$21,0))/7))</f>
        <v>0</v>
      </c>
      <c r="AP296" s="665"/>
      <c r="AQ296" s="666"/>
      <c r="AR296" s="662" t="str">
        <f t="shared" ref="AR296" si="445">IF($AN$3="４週",AU297,AV297)</f>
        <v/>
      </c>
      <c r="AS296" s="662"/>
      <c r="AT296" s="671" t="str">
        <f t="shared" ref="AT296" si="446">IF(AX297&lt;=1.1,"",IF(AY297&lt;=1.1,"",IF(F296="","","勤務時間"&amp;CHAR(10)&amp;"OVER")))</f>
        <v/>
      </c>
      <c r="AU296" s="520" t="s">
        <v>630</v>
      </c>
      <c r="AV296" s="520" t="s">
        <v>631</v>
      </c>
      <c r="AX296" s="520" t="s">
        <v>632</v>
      </c>
      <c r="AY296" s="520" t="s">
        <v>633</v>
      </c>
    </row>
    <row r="297" spans="1:51" s="500" customFormat="1" ht="12" customHeight="1">
      <c r="A297" s="673"/>
      <c r="B297" s="676"/>
      <c r="C297" s="694"/>
      <c r="D297" s="682"/>
      <c r="E297" s="521"/>
      <c r="F297" s="686"/>
      <c r="G297" s="687"/>
      <c r="H297" s="522" t="s">
        <v>634</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91"/>
      <c r="AO297" s="663"/>
      <c r="AP297" s="667"/>
      <c r="AQ297" s="668"/>
      <c r="AR297" s="663"/>
      <c r="AS297" s="663"/>
      <c r="AT297" s="671"/>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4"/>
      <c r="B298" s="677"/>
      <c r="C298" s="695"/>
      <c r="D298" s="683"/>
      <c r="E298" s="521"/>
      <c r="F298" s="688"/>
      <c r="G298" s="689"/>
      <c r="H298" s="525" t="s">
        <v>635</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92"/>
      <c r="AO298" s="664"/>
      <c r="AP298" s="669"/>
      <c r="AQ298" s="670"/>
      <c r="AR298" s="664"/>
      <c r="AS298" s="664"/>
      <c r="AT298" s="671"/>
      <c r="AU298" s="527"/>
      <c r="AV298" s="527"/>
      <c r="AX298" s="527"/>
      <c r="AY298" s="527"/>
    </row>
    <row r="299" spans="1:51" s="500" customFormat="1" ht="12" customHeight="1">
      <c r="A299" s="672">
        <v>93</v>
      </c>
      <c r="B299" s="675"/>
      <c r="C299" s="693"/>
      <c r="D299" s="681" t="s">
        <v>628</v>
      </c>
      <c r="E299" s="517"/>
      <c r="F299" s="684"/>
      <c r="G299" s="685"/>
      <c r="H299" s="518" t="s">
        <v>629</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90">
        <f t="shared" ref="AN299" si="449">IF(LEFT($AN$1,6)="共同生活援助",SUM(I300:AM300),SUM(I300:AM301))</f>
        <v>0</v>
      </c>
      <c r="AO299" s="662">
        <f>IF($AN$3="４週",AN299/4,AN299/(DAY(EOMONTH($I$21,0))/7))</f>
        <v>0</v>
      </c>
      <c r="AP299" s="665"/>
      <c r="AQ299" s="666"/>
      <c r="AR299" s="662" t="str">
        <f t="shared" ref="AR299" si="450">IF($AN$3="４週",AU300,AV300)</f>
        <v/>
      </c>
      <c r="AS299" s="662"/>
      <c r="AT299" s="671" t="str">
        <f t="shared" ref="AT299" si="451">IF(AX300&lt;=1.1,"",IF(AY300&lt;=1.1,"",IF(F299="","","勤務時間"&amp;CHAR(10)&amp;"OVER")))</f>
        <v/>
      </c>
      <c r="AU299" s="520" t="s">
        <v>630</v>
      </c>
      <c r="AV299" s="520" t="s">
        <v>631</v>
      </c>
      <c r="AX299" s="520" t="s">
        <v>632</v>
      </c>
      <c r="AY299" s="520" t="s">
        <v>633</v>
      </c>
    </row>
    <row r="300" spans="1:51" s="500" customFormat="1" ht="12" customHeight="1">
      <c r="A300" s="673"/>
      <c r="B300" s="676"/>
      <c r="C300" s="694"/>
      <c r="D300" s="682"/>
      <c r="E300" s="521"/>
      <c r="F300" s="686"/>
      <c r="G300" s="687"/>
      <c r="H300" s="522" t="s">
        <v>634</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91"/>
      <c r="AO300" s="663"/>
      <c r="AP300" s="667"/>
      <c r="AQ300" s="668"/>
      <c r="AR300" s="663"/>
      <c r="AS300" s="663"/>
      <c r="AT300" s="671"/>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4"/>
      <c r="B301" s="677"/>
      <c r="C301" s="695"/>
      <c r="D301" s="683"/>
      <c r="E301" s="521"/>
      <c r="F301" s="688"/>
      <c r="G301" s="689"/>
      <c r="H301" s="525" t="s">
        <v>635</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92"/>
      <c r="AO301" s="664"/>
      <c r="AP301" s="669"/>
      <c r="AQ301" s="670"/>
      <c r="AR301" s="664"/>
      <c r="AS301" s="664"/>
      <c r="AT301" s="671"/>
      <c r="AU301" s="527"/>
      <c r="AV301" s="527"/>
      <c r="AX301" s="527"/>
      <c r="AY301" s="527"/>
    </row>
    <row r="302" spans="1:51" s="500" customFormat="1" ht="12" customHeight="1">
      <c r="A302" s="672">
        <v>94</v>
      </c>
      <c r="B302" s="675"/>
      <c r="C302" s="693"/>
      <c r="D302" s="681" t="s">
        <v>628</v>
      </c>
      <c r="E302" s="517"/>
      <c r="F302" s="684"/>
      <c r="G302" s="685"/>
      <c r="H302" s="518" t="s">
        <v>629</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90">
        <f t="shared" ref="AN302" si="454">IF(LEFT($AN$1,6)="共同生活援助",SUM(I303:AM303),SUM(I303:AM304))</f>
        <v>0</v>
      </c>
      <c r="AO302" s="662">
        <f>IF($AN$3="４週",AN302/4,AN302/(DAY(EOMONTH($I$21,0))/7))</f>
        <v>0</v>
      </c>
      <c r="AP302" s="665"/>
      <c r="AQ302" s="666"/>
      <c r="AR302" s="662" t="str">
        <f t="shared" ref="AR302" si="455">IF($AN$3="４週",AU303,AV303)</f>
        <v/>
      </c>
      <c r="AS302" s="662"/>
      <c r="AT302" s="671" t="str">
        <f t="shared" ref="AT302" si="456">IF(AX303&lt;=1.1,"",IF(AY303&lt;=1.1,"",IF(F302="","","勤務時間"&amp;CHAR(10)&amp;"OVER")))</f>
        <v/>
      </c>
      <c r="AU302" s="520" t="s">
        <v>630</v>
      </c>
      <c r="AV302" s="520" t="s">
        <v>631</v>
      </c>
      <c r="AX302" s="520" t="s">
        <v>632</v>
      </c>
      <c r="AY302" s="520" t="s">
        <v>633</v>
      </c>
    </row>
    <row r="303" spans="1:51" s="500" customFormat="1" ht="12" customHeight="1">
      <c r="A303" s="673"/>
      <c r="B303" s="676"/>
      <c r="C303" s="694"/>
      <c r="D303" s="682"/>
      <c r="E303" s="521"/>
      <c r="F303" s="686"/>
      <c r="G303" s="687"/>
      <c r="H303" s="522" t="s">
        <v>634</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91"/>
      <c r="AO303" s="663"/>
      <c r="AP303" s="667"/>
      <c r="AQ303" s="668"/>
      <c r="AR303" s="663"/>
      <c r="AS303" s="663"/>
      <c r="AT303" s="671"/>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4"/>
      <c r="B304" s="677"/>
      <c r="C304" s="695"/>
      <c r="D304" s="683"/>
      <c r="E304" s="521"/>
      <c r="F304" s="688"/>
      <c r="G304" s="689"/>
      <c r="H304" s="525" t="s">
        <v>635</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92"/>
      <c r="AO304" s="664"/>
      <c r="AP304" s="669"/>
      <c r="AQ304" s="670"/>
      <c r="AR304" s="664"/>
      <c r="AS304" s="664"/>
      <c r="AT304" s="671"/>
      <c r="AU304" s="527"/>
      <c r="AV304" s="527"/>
      <c r="AX304" s="527"/>
      <c r="AY304" s="527"/>
    </row>
    <row r="305" spans="1:51" s="500" customFormat="1" ht="12" customHeight="1">
      <c r="A305" s="672">
        <v>95</v>
      </c>
      <c r="B305" s="675"/>
      <c r="C305" s="693"/>
      <c r="D305" s="681" t="s">
        <v>628</v>
      </c>
      <c r="E305" s="517"/>
      <c r="F305" s="684"/>
      <c r="G305" s="685"/>
      <c r="H305" s="518" t="s">
        <v>629</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90">
        <f t="shared" ref="AN305" si="459">IF(LEFT($AN$1,6)="共同生活援助",SUM(I306:AM306),SUM(I306:AM307))</f>
        <v>0</v>
      </c>
      <c r="AO305" s="662">
        <f>IF($AN$3="４週",AN305/4,AN305/(DAY(EOMONTH($I$21,0))/7))</f>
        <v>0</v>
      </c>
      <c r="AP305" s="665"/>
      <c r="AQ305" s="666"/>
      <c r="AR305" s="662" t="str">
        <f t="shared" ref="AR305" si="460">IF($AN$3="４週",AU306,AV306)</f>
        <v/>
      </c>
      <c r="AS305" s="662"/>
      <c r="AT305" s="671" t="str">
        <f t="shared" ref="AT305" si="461">IF(AX306&lt;=1.1,"",IF(AY306&lt;=1.1,"",IF(F305="","","勤務時間"&amp;CHAR(10)&amp;"OVER")))</f>
        <v/>
      </c>
      <c r="AU305" s="520" t="s">
        <v>630</v>
      </c>
      <c r="AV305" s="520" t="s">
        <v>631</v>
      </c>
      <c r="AX305" s="520" t="s">
        <v>632</v>
      </c>
      <c r="AY305" s="520" t="s">
        <v>633</v>
      </c>
    </row>
    <row r="306" spans="1:51" s="500" customFormat="1" ht="12" customHeight="1">
      <c r="A306" s="673"/>
      <c r="B306" s="676"/>
      <c r="C306" s="694"/>
      <c r="D306" s="682"/>
      <c r="E306" s="521"/>
      <c r="F306" s="686"/>
      <c r="G306" s="687"/>
      <c r="H306" s="522" t="s">
        <v>634</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91"/>
      <c r="AO306" s="663"/>
      <c r="AP306" s="667"/>
      <c r="AQ306" s="668"/>
      <c r="AR306" s="663"/>
      <c r="AS306" s="663"/>
      <c r="AT306" s="671"/>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4"/>
      <c r="B307" s="677"/>
      <c r="C307" s="695"/>
      <c r="D307" s="683"/>
      <c r="E307" s="521"/>
      <c r="F307" s="688"/>
      <c r="G307" s="689"/>
      <c r="H307" s="525" t="s">
        <v>635</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92"/>
      <c r="AO307" s="664"/>
      <c r="AP307" s="669"/>
      <c r="AQ307" s="670"/>
      <c r="AR307" s="664"/>
      <c r="AS307" s="664"/>
      <c r="AT307" s="671"/>
      <c r="AU307" s="527"/>
      <c r="AV307" s="527"/>
      <c r="AX307" s="527"/>
      <c r="AY307" s="527"/>
    </row>
    <row r="308" spans="1:51" s="500" customFormat="1" ht="12" customHeight="1">
      <c r="A308" s="672">
        <v>96</v>
      </c>
      <c r="B308" s="675"/>
      <c r="C308" s="693"/>
      <c r="D308" s="681" t="s">
        <v>628</v>
      </c>
      <c r="E308" s="517"/>
      <c r="F308" s="684"/>
      <c r="G308" s="685"/>
      <c r="H308" s="518" t="s">
        <v>629</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90">
        <f t="shared" ref="AN308" si="464">IF(LEFT($AN$1,6)="共同生活援助",SUM(I309:AM309),SUM(I309:AM310))</f>
        <v>0</v>
      </c>
      <c r="AO308" s="662">
        <f>IF($AN$3="４週",AN308/4,AN308/(DAY(EOMONTH($I$21,0))/7))</f>
        <v>0</v>
      </c>
      <c r="AP308" s="665"/>
      <c r="AQ308" s="666"/>
      <c r="AR308" s="662" t="str">
        <f t="shared" ref="AR308" si="465">IF($AN$3="４週",AU309,AV309)</f>
        <v/>
      </c>
      <c r="AS308" s="662"/>
      <c r="AT308" s="671" t="str">
        <f t="shared" ref="AT308" si="466">IF(AX309&lt;=1.1,"",IF(AY309&lt;=1.1,"",IF(F308="","","勤務時間"&amp;CHAR(10)&amp;"OVER")))</f>
        <v/>
      </c>
      <c r="AU308" s="520" t="s">
        <v>630</v>
      </c>
      <c r="AV308" s="520" t="s">
        <v>631</v>
      </c>
      <c r="AX308" s="520" t="s">
        <v>632</v>
      </c>
      <c r="AY308" s="520" t="s">
        <v>633</v>
      </c>
    </row>
    <row r="309" spans="1:51" s="500" customFormat="1" ht="12" customHeight="1">
      <c r="A309" s="673"/>
      <c r="B309" s="676"/>
      <c r="C309" s="694"/>
      <c r="D309" s="682"/>
      <c r="E309" s="521"/>
      <c r="F309" s="686"/>
      <c r="G309" s="687"/>
      <c r="H309" s="522" t="s">
        <v>634</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91"/>
      <c r="AO309" s="663"/>
      <c r="AP309" s="667"/>
      <c r="AQ309" s="668"/>
      <c r="AR309" s="663"/>
      <c r="AS309" s="663"/>
      <c r="AT309" s="671"/>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4"/>
      <c r="B310" s="677"/>
      <c r="C310" s="695"/>
      <c r="D310" s="683"/>
      <c r="E310" s="521"/>
      <c r="F310" s="688"/>
      <c r="G310" s="689"/>
      <c r="H310" s="525" t="s">
        <v>635</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92"/>
      <c r="AO310" s="664"/>
      <c r="AP310" s="669"/>
      <c r="AQ310" s="670"/>
      <c r="AR310" s="664"/>
      <c r="AS310" s="664"/>
      <c r="AT310" s="671"/>
      <c r="AU310" s="527"/>
      <c r="AV310" s="527"/>
      <c r="AX310" s="527"/>
      <c r="AY310" s="527"/>
    </row>
    <row r="311" spans="1:51" s="500" customFormat="1" ht="12" customHeight="1">
      <c r="A311" s="672">
        <v>97</v>
      </c>
      <c r="B311" s="675"/>
      <c r="C311" s="693"/>
      <c r="D311" s="681" t="s">
        <v>628</v>
      </c>
      <c r="E311" s="517"/>
      <c r="F311" s="684"/>
      <c r="G311" s="685"/>
      <c r="H311" s="518" t="s">
        <v>629</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90">
        <f t="shared" ref="AN311" si="469">IF(LEFT($AN$1,6)="共同生活援助",SUM(I312:AM312),SUM(I312:AM313))</f>
        <v>0</v>
      </c>
      <c r="AO311" s="662">
        <f>IF($AN$3="４週",AN311/4,AN311/(DAY(EOMONTH($I$21,0))/7))</f>
        <v>0</v>
      </c>
      <c r="AP311" s="665"/>
      <c r="AQ311" s="666"/>
      <c r="AR311" s="662" t="str">
        <f t="shared" ref="AR311" si="470">IF($AN$3="４週",AU312,AV312)</f>
        <v/>
      </c>
      <c r="AS311" s="662"/>
      <c r="AT311" s="671" t="str">
        <f t="shared" ref="AT311" si="471">IF(AX312&lt;=1.1,"",IF(AY312&lt;=1.1,"",IF(F311="","","勤務時間"&amp;CHAR(10)&amp;"OVER")))</f>
        <v/>
      </c>
      <c r="AU311" s="520" t="s">
        <v>630</v>
      </c>
      <c r="AV311" s="520" t="s">
        <v>631</v>
      </c>
      <c r="AX311" s="520" t="s">
        <v>632</v>
      </c>
      <c r="AY311" s="520" t="s">
        <v>633</v>
      </c>
    </row>
    <row r="312" spans="1:51" s="500" customFormat="1" ht="12" customHeight="1">
      <c r="A312" s="673"/>
      <c r="B312" s="676"/>
      <c r="C312" s="694"/>
      <c r="D312" s="682"/>
      <c r="E312" s="521"/>
      <c r="F312" s="686"/>
      <c r="G312" s="687"/>
      <c r="H312" s="522" t="s">
        <v>634</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91"/>
      <c r="AO312" s="663"/>
      <c r="AP312" s="667"/>
      <c r="AQ312" s="668"/>
      <c r="AR312" s="663"/>
      <c r="AS312" s="663"/>
      <c r="AT312" s="671"/>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4"/>
      <c r="B313" s="677"/>
      <c r="C313" s="695"/>
      <c r="D313" s="683"/>
      <c r="E313" s="521"/>
      <c r="F313" s="688"/>
      <c r="G313" s="689"/>
      <c r="H313" s="525" t="s">
        <v>635</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92"/>
      <c r="AO313" s="664"/>
      <c r="AP313" s="669"/>
      <c r="AQ313" s="670"/>
      <c r="AR313" s="664"/>
      <c r="AS313" s="664"/>
      <c r="AT313" s="671"/>
      <c r="AU313" s="527"/>
      <c r="AV313" s="527"/>
      <c r="AX313" s="527"/>
      <c r="AY313" s="527"/>
    </row>
    <row r="314" spans="1:51" s="500" customFormat="1" ht="12" customHeight="1">
      <c r="A314" s="672">
        <v>98</v>
      </c>
      <c r="B314" s="675"/>
      <c r="C314" s="693"/>
      <c r="D314" s="681" t="s">
        <v>628</v>
      </c>
      <c r="E314" s="517"/>
      <c r="F314" s="684"/>
      <c r="G314" s="685"/>
      <c r="H314" s="518" t="s">
        <v>629</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90">
        <f t="shared" ref="AN314" si="474">IF(LEFT($AN$1,6)="共同生活援助",SUM(I315:AM315),SUM(I315:AM316))</f>
        <v>0</v>
      </c>
      <c r="AO314" s="662">
        <f>IF($AN$3="４週",AN314/4,AN314/(DAY(EOMONTH($I$21,0))/7))</f>
        <v>0</v>
      </c>
      <c r="AP314" s="665"/>
      <c r="AQ314" s="666"/>
      <c r="AR314" s="662" t="str">
        <f t="shared" ref="AR314" si="475">IF($AN$3="４週",AU315,AV315)</f>
        <v/>
      </c>
      <c r="AS314" s="662"/>
      <c r="AT314" s="671" t="str">
        <f t="shared" ref="AT314" si="476">IF(AX315&lt;=1.1,"",IF(AY315&lt;=1.1,"",IF(F314="","","勤務時間"&amp;CHAR(10)&amp;"OVER")))</f>
        <v/>
      </c>
      <c r="AU314" s="520" t="s">
        <v>630</v>
      </c>
      <c r="AV314" s="520" t="s">
        <v>631</v>
      </c>
      <c r="AX314" s="520" t="s">
        <v>632</v>
      </c>
      <c r="AY314" s="520" t="s">
        <v>633</v>
      </c>
    </row>
    <row r="315" spans="1:51" s="500" customFormat="1" ht="12" customHeight="1">
      <c r="A315" s="673"/>
      <c r="B315" s="676"/>
      <c r="C315" s="694"/>
      <c r="D315" s="682"/>
      <c r="E315" s="521"/>
      <c r="F315" s="686"/>
      <c r="G315" s="687"/>
      <c r="H315" s="522" t="s">
        <v>634</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91"/>
      <c r="AO315" s="663"/>
      <c r="AP315" s="667"/>
      <c r="AQ315" s="668"/>
      <c r="AR315" s="663"/>
      <c r="AS315" s="663"/>
      <c r="AT315" s="671"/>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4"/>
      <c r="B316" s="677"/>
      <c r="C316" s="695"/>
      <c r="D316" s="683"/>
      <c r="E316" s="521"/>
      <c r="F316" s="688"/>
      <c r="G316" s="689"/>
      <c r="H316" s="525" t="s">
        <v>635</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92"/>
      <c r="AO316" s="664"/>
      <c r="AP316" s="669"/>
      <c r="AQ316" s="670"/>
      <c r="AR316" s="664"/>
      <c r="AS316" s="664"/>
      <c r="AT316" s="671"/>
      <c r="AU316" s="527"/>
      <c r="AV316" s="527"/>
      <c r="AX316" s="527"/>
      <c r="AY316" s="527"/>
    </row>
    <row r="317" spans="1:51" s="500" customFormat="1" ht="12" customHeight="1">
      <c r="A317" s="672">
        <v>99</v>
      </c>
      <c r="B317" s="675"/>
      <c r="C317" s="678"/>
      <c r="D317" s="681" t="s">
        <v>628</v>
      </c>
      <c r="E317" s="517"/>
      <c r="F317" s="684"/>
      <c r="G317" s="685"/>
      <c r="H317" s="518" t="s">
        <v>629</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90">
        <f t="shared" ref="AN317" si="479">IF(LEFT($AN$1,6)="共同生活援助",SUM(I318:AM318),SUM(I318:AM319))</f>
        <v>0</v>
      </c>
      <c r="AO317" s="662">
        <f>IF($AN$3="４週",AN317/4,AN317/(DAY(EOMONTH($I$21,0))/7))</f>
        <v>0</v>
      </c>
      <c r="AP317" s="665"/>
      <c r="AQ317" s="666"/>
      <c r="AR317" s="662" t="str">
        <f t="shared" ref="AR317" si="480">IF($AN$3="４週",AU318,AV318)</f>
        <v/>
      </c>
      <c r="AS317" s="662"/>
      <c r="AT317" s="671" t="str">
        <f t="shared" ref="AT317" si="481">IF(AX318&lt;=1.1,"",IF(AY318&lt;=1.1,"",IF(F317="","","勤務時間"&amp;CHAR(10)&amp;"OVER")))</f>
        <v/>
      </c>
      <c r="AU317" s="520" t="s">
        <v>630</v>
      </c>
      <c r="AV317" s="520" t="s">
        <v>631</v>
      </c>
      <c r="AX317" s="520" t="s">
        <v>632</v>
      </c>
      <c r="AY317" s="520" t="s">
        <v>633</v>
      </c>
    </row>
    <row r="318" spans="1:51" s="500" customFormat="1" ht="12" customHeight="1">
      <c r="A318" s="673"/>
      <c r="B318" s="676"/>
      <c r="C318" s="679"/>
      <c r="D318" s="682"/>
      <c r="E318" s="521"/>
      <c r="F318" s="686"/>
      <c r="G318" s="687"/>
      <c r="H318" s="522" t="s">
        <v>634</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91"/>
      <c r="AO318" s="663"/>
      <c r="AP318" s="667"/>
      <c r="AQ318" s="668"/>
      <c r="AR318" s="663"/>
      <c r="AS318" s="663"/>
      <c r="AT318" s="671"/>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4"/>
      <c r="B319" s="677"/>
      <c r="C319" s="680"/>
      <c r="D319" s="683"/>
      <c r="E319" s="581"/>
      <c r="F319" s="688"/>
      <c r="G319" s="689"/>
      <c r="H319" s="525" t="s">
        <v>635</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92"/>
      <c r="AO319" s="664"/>
      <c r="AP319" s="669"/>
      <c r="AQ319" s="670"/>
      <c r="AR319" s="664"/>
      <c r="AS319" s="664"/>
      <c r="AT319" s="671"/>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636</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637</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638</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639</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640</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641</v>
      </c>
      <c r="B326" s="552"/>
      <c r="C326" s="540"/>
      <c r="D326" s="540"/>
      <c r="E326" s="540"/>
      <c r="F326" s="540"/>
      <c r="G326" s="540"/>
      <c r="H326" s="540"/>
      <c r="I326" s="540"/>
      <c r="J326" s="540"/>
    </row>
    <row r="327" spans="1:46" ht="15" customHeight="1">
      <c r="A327" s="540" t="s">
        <v>642</v>
      </c>
      <c r="B327" s="552"/>
      <c r="C327" s="540"/>
      <c r="D327" s="540"/>
      <c r="E327" s="540"/>
      <c r="F327" s="540"/>
      <c r="G327" s="540"/>
      <c r="H327" s="540"/>
      <c r="I327" s="540"/>
      <c r="J327" s="540"/>
    </row>
    <row r="328" spans="1:46" ht="15" customHeight="1">
      <c r="A328" s="540"/>
      <c r="B328" s="553" t="s">
        <v>643</v>
      </c>
      <c r="C328" s="659" t="s">
        <v>644</v>
      </c>
      <c r="D328" s="660"/>
      <c r="E328" s="661"/>
      <c r="F328" s="536"/>
      <c r="G328" s="536"/>
      <c r="H328" s="540"/>
      <c r="I328" s="540"/>
      <c r="AS328" s="540"/>
    </row>
    <row r="329" spans="1:46" ht="15" customHeight="1">
      <c r="A329" s="540"/>
      <c r="B329" s="554" t="s">
        <v>645</v>
      </c>
      <c r="C329" s="659" t="s">
        <v>646</v>
      </c>
      <c r="D329" s="660"/>
      <c r="E329" s="661"/>
      <c r="F329" s="540"/>
      <c r="G329" s="540"/>
      <c r="H329" s="540"/>
      <c r="I329" s="540"/>
      <c r="AS329" s="540"/>
    </row>
    <row r="330" spans="1:46" ht="15" customHeight="1">
      <c r="A330" s="540"/>
      <c r="B330" s="554" t="s">
        <v>647</v>
      </c>
      <c r="C330" s="659" t="s">
        <v>648</v>
      </c>
      <c r="D330" s="660"/>
      <c r="E330" s="661"/>
      <c r="F330" s="540"/>
      <c r="G330" s="540"/>
      <c r="H330" s="540"/>
      <c r="I330" s="540"/>
      <c r="AS330" s="540"/>
    </row>
    <row r="331" spans="1:46" ht="15" customHeight="1">
      <c r="A331" s="540"/>
      <c r="B331" s="554" t="s">
        <v>649</v>
      </c>
      <c r="C331" s="659" t="s">
        <v>650</v>
      </c>
      <c r="D331" s="660"/>
      <c r="E331" s="661"/>
      <c r="F331" s="540"/>
      <c r="G331" s="540"/>
      <c r="H331" s="540"/>
      <c r="I331" s="540"/>
      <c r="AS331" s="540"/>
    </row>
    <row r="332" spans="1:46" ht="15" customHeight="1">
      <c r="A332" s="540"/>
      <c r="B332" s="554" t="s">
        <v>651</v>
      </c>
      <c r="C332" s="659" t="s">
        <v>652</v>
      </c>
      <c r="D332" s="660"/>
      <c r="E332" s="661"/>
      <c r="F332" s="540"/>
      <c r="G332" s="540"/>
      <c r="H332" s="540"/>
      <c r="I332" s="540"/>
      <c r="AS332" s="540"/>
    </row>
    <row r="333" spans="1:46" ht="15" customHeight="1">
      <c r="A333" s="540"/>
      <c r="B333" s="540" t="s">
        <v>653</v>
      </c>
      <c r="C333" s="540"/>
      <c r="D333" s="540"/>
      <c r="E333" s="540"/>
      <c r="F333" s="540"/>
      <c r="G333" s="540"/>
      <c r="H333" s="540"/>
      <c r="I333" s="540"/>
      <c r="J333" s="540"/>
    </row>
    <row r="334" spans="1:46" ht="15" customHeight="1">
      <c r="A334" s="540"/>
      <c r="B334" s="540" t="s">
        <v>654</v>
      </c>
      <c r="C334" s="540"/>
      <c r="D334" s="540"/>
      <c r="E334" s="540"/>
      <c r="F334" s="540"/>
      <c r="G334" s="540"/>
      <c r="H334" s="540"/>
      <c r="I334" s="540"/>
      <c r="J334" s="540"/>
    </row>
    <row r="335" spans="1:46" ht="15" customHeight="1">
      <c r="A335" s="540"/>
      <c r="B335" s="540" t="s">
        <v>655</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656</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657</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658</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659</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660</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661</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662</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663</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664</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665</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666</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667</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668</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2" sqref="A2"/>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775</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591</v>
      </c>
      <c r="AM1" s="499"/>
      <c r="AN1" s="743" t="s">
        <v>122</v>
      </c>
      <c r="AO1" s="744"/>
      <c r="AP1" s="744"/>
      <c r="AQ1" s="745"/>
      <c r="AT1" s="501"/>
      <c r="AZ1" s="136">
        <v>2023</v>
      </c>
      <c r="BA1" s="136">
        <v>5</v>
      </c>
    </row>
    <row r="2" spans="1:53" s="500" customFormat="1" ht="18" customHeight="1">
      <c r="A2" s="497" t="s">
        <v>593</v>
      </c>
      <c r="B2" s="502"/>
      <c r="C2" s="502"/>
      <c r="D2" s="502"/>
      <c r="E2" s="502"/>
      <c r="F2" s="502"/>
      <c r="G2" s="502"/>
      <c r="H2" s="502"/>
      <c r="I2" s="502"/>
      <c r="J2" s="502"/>
      <c r="K2" s="502"/>
      <c r="L2" s="502"/>
      <c r="M2" s="502"/>
      <c r="N2" s="556"/>
      <c r="O2" s="502"/>
      <c r="P2" s="746">
        <f>YEAR(EOMONTH(DATE(SUM(2018+【共通】!N9),【共通】!P9,【共通】!R9),-2))</f>
        <v>2024</v>
      </c>
      <c r="Q2" s="746"/>
      <c r="R2" s="746"/>
      <c r="S2" s="746"/>
      <c r="T2" s="747" t="s">
        <v>27</v>
      </c>
      <c r="U2" s="747"/>
      <c r="V2" s="746">
        <f>MONTH(EOMONTH(DATE(2024,【共通】!P9,【共通】!R9),-3))</f>
        <v>8</v>
      </c>
      <c r="W2" s="746"/>
      <c r="X2" s="747" t="s">
        <v>310</v>
      </c>
      <c r="Y2" s="747"/>
      <c r="Z2" s="502"/>
      <c r="AA2" s="502"/>
      <c r="AB2" s="502"/>
      <c r="AC2" s="497"/>
      <c r="AD2" s="497"/>
      <c r="AE2" s="503"/>
      <c r="AF2" s="499"/>
      <c r="AG2" s="502"/>
      <c r="AH2" s="502"/>
      <c r="AI2" s="502"/>
      <c r="AJ2" s="502"/>
      <c r="AK2" s="502"/>
      <c r="AL2" s="499" t="s">
        <v>594</v>
      </c>
      <c r="AM2" s="499"/>
      <c r="AN2" s="748"/>
      <c r="AO2" s="749"/>
      <c r="AP2" s="749"/>
      <c r="AQ2" s="750"/>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595</v>
      </c>
      <c r="AM3" s="499"/>
      <c r="AN3" s="755" t="str">
        <f>IF(AN4="","予定/実績の別を選択",IF(AN4="予定","４週","暦月"))</f>
        <v>暦月</v>
      </c>
      <c r="AO3" s="756"/>
      <c r="AP3" s="756"/>
      <c r="AQ3" s="757"/>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596</v>
      </c>
      <c r="AM4" s="499"/>
      <c r="AN4" s="758" t="s">
        <v>670</v>
      </c>
      <c r="AO4" s="759"/>
      <c r="AP4" s="759"/>
      <c r="AQ4" s="760"/>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597</v>
      </c>
      <c r="AK6" s="761"/>
      <c r="AL6" s="761"/>
      <c r="AM6" s="761"/>
      <c r="AN6" s="505" t="s">
        <v>598</v>
      </c>
      <c r="AO6" s="507"/>
      <c r="AP6" s="505" t="s">
        <v>599</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600</v>
      </c>
      <c r="AK8" s="761"/>
      <c r="AL8" s="761"/>
      <c r="AM8" s="761"/>
      <c r="AN8" s="505" t="s">
        <v>598</v>
      </c>
      <c r="AO8" s="507"/>
      <c r="AP8" s="505" t="s">
        <v>599</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62" t="str">
        <f>IF(E16="","",IF(E15&lt;E16,"ＮＧ",""))</f>
        <v/>
      </c>
      <c r="F10" s="762"/>
      <c r="G10" s="762" t="str">
        <f>IF(G16="","",IF(G11="職業指導員",IF((G15+J15)&lt;(G16+J16),"ＮＧ",""),IF(G15&lt;G16,"ＮＧ","")))</f>
        <v/>
      </c>
      <c r="H10" s="762"/>
      <c r="I10" s="762"/>
      <c r="J10" s="762" t="str">
        <f>IF(J16="","",IF(J11="職業指導員",IF((J15+P15)&lt;(J16+P16),"ＮＧ",""),IF(J15&lt;J16,"ＮＧ","")))</f>
        <v/>
      </c>
      <c r="K10" s="762"/>
      <c r="L10" s="762"/>
      <c r="M10" s="762"/>
      <c r="N10" s="762"/>
      <c r="O10" s="762"/>
      <c r="P10" s="762" t="str">
        <f>IF(P16="","",IF(P15&lt;P16,"ＮＧ",""))</f>
        <v/>
      </c>
      <c r="Q10" s="762"/>
      <c r="R10" s="762"/>
      <c r="S10" s="762"/>
      <c r="T10" s="762"/>
      <c r="U10" s="762"/>
      <c r="V10" s="762" t="str">
        <f>IF(V16="","",IF(V15&lt;V16,"ＮＧ",""))</f>
        <v/>
      </c>
      <c r="W10" s="762"/>
      <c r="X10" s="762"/>
      <c r="Y10" s="762"/>
      <c r="Z10" s="762"/>
      <c r="AA10" s="762"/>
      <c r="AB10" s="751" t="str">
        <f>IF(AB16="","",IF(AB15&lt;AB16,"ＮＧ",""))</f>
        <v/>
      </c>
      <c r="AC10" s="751"/>
      <c r="AD10" s="751"/>
      <c r="AE10" s="751"/>
      <c r="AF10" s="751"/>
      <c r="AG10" s="751"/>
      <c r="AH10" s="751" t="str">
        <f>IF(AH16="","",IF(AH15&lt;AH16,"ＮＧ",""))</f>
        <v/>
      </c>
      <c r="AI10" s="751"/>
      <c r="AJ10" s="751"/>
      <c r="AK10" s="751"/>
      <c r="AL10" s="751"/>
      <c r="AM10" s="751"/>
      <c r="AN10" s="751" t="str">
        <f>IF(AN16="","",IF(AN15&lt;AN16,"ＮＧ",""))</f>
        <v/>
      </c>
      <c r="AO10" s="751"/>
      <c r="AP10" s="751" t="str">
        <f>IF(AP16="","",IF(AP15&lt;AP16,"ＮＧ",""))</f>
        <v/>
      </c>
      <c r="AQ10" s="751"/>
      <c r="AR10" s="752" t="str">
        <f>IF(AR16="","",IF(AR15&lt;AR16,"ＮＧ",""))</f>
        <v/>
      </c>
      <c r="AS10" s="752"/>
      <c r="AT10" s="501"/>
    </row>
    <row r="11" spans="1:53" s="503" customFormat="1" ht="21" customHeight="1">
      <c r="A11" s="496"/>
      <c r="B11" s="753"/>
      <c r="C11" s="715" t="s">
        <v>601</v>
      </c>
      <c r="D11" s="717"/>
      <c r="E11" s="707" t="str">
        <f>IFERROR(IF(VLOOKUP($AN$1,[5]選択肢!$A:$L,3,FALSE)="","---",(VLOOKUP($AN$1,[5]選択肢!$A:$L,3,FALSE))),"サービス種別未選択")</f>
        <v>サービス管理責任者</v>
      </c>
      <c r="F11" s="707"/>
      <c r="G11" s="707" t="str">
        <f>IFERROR(IF(VLOOKUP($AN$1,[5]選択肢!$A:$L,4,FALSE)="","---",(VLOOKUP($AN$1,[5]選択肢!$A:$L,4,FALSE))),"サービス種別"&amp;CHAR(10)&amp;"未選択")</f>
        <v>職業指導員</v>
      </c>
      <c r="H11" s="707"/>
      <c r="I11" s="707"/>
      <c r="J11" s="732" t="str">
        <f>IFERROR(IF(VLOOKUP($AN$1,[5]選択肢!$A:$L,5,FALSE)="","---",(VLOOKUP($AN$1,[5]選択肢!$A:$L,5,FALSE))),"サービス種別未選択")</f>
        <v>生活支援員</v>
      </c>
      <c r="K11" s="733"/>
      <c r="L11" s="733"/>
      <c r="M11" s="733"/>
      <c r="N11" s="733"/>
      <c r="O11" s="734"/>
      <c r="P11" s="732" t="str">
        <f>IFERROR(IF(VLOOKUP($AN$1,[5]選択肢!$A:$L,6,FALSE)="","---",(VLOOKUP($AN$1,[5]選択肢!$A:$L,6,FALSE))),"サービス種別未選択")</f>
        <v>目標工賃達成指導員</v>
      </c>
      <c r="Q11" s="733"/>
      <c r="R11" s="733"/>
      <c r="S11" s="733"/>
      <c r="T11" s="733"/>
      <c r="U11" s="734"/>
      <c r="V11" s="732" t="str">
        <f>IFERROR(IF(VLOOKUP($AN$1,[5]選択肢!$A:$L,7,FALSE)="","---",(VLOOKUP($AN$1,[5]選択肢!$A:$L,7,FALSE))),"サービス種別未選択")</f>
        <v>その他職員</v>
      </c>
      <c r="W11" s="733"/>
      <c r="X11" s="733"/>
      <c r="Y11" s="733"/>
      <c r="Z11" s="733"/>
      <c r="AA11" s="734"/>
      <c r="AB11" s="732" t="str">
        <f>IFERROR(IF(VLOOKUP($AN$1,[5]選択肢!$A:$L,8,FALSE)="","---",(VLOOKUP($AN$1,[5]選択肢!$A:$L,8,FALSE))),"サービス種別未選択")</f>
        <v>---</v>
      </c>
      <c r="AC11" s="733"/>
      <c r="AD11" s="733"/>
      <c r="AE11" s="733"/>
      <c r="AF11" s="733"/>
      <c r="AG11" s="734"/>
      <c r="AH11" s="732" t="str">
        <f>IFERROR(IF(VLOOKUP($AN$1,[5]選択肢!$A:$L,9,FALSE)="","---",(VLOOKUP($AN$1,[5]選択肢!$A:$L,9,FALSE))),"サービス種別未選択")</f>
        <v>---</v>
      </c>
      <c r="AI11" s="733"/>
      <c r="AJ11" s="733"/>
      <c r="AK11" s="733"/>
      <c r="AL11" s="733"/>
      <c r="AM11" s="734"/>
      <c r="AN11" s="696" t="str">
        <f>IFERROR(IF(VLOOKUP($AN$1,[5]選択肢!$A:$L,10,FALSE)="","---",(VLOOKUP($AN$1,[5]選択肢!$A:$L,10,FALSE))),"サービス種別未選択")</f>
        <v>---</v>
      </c>
      <c r="AO11" s="697"/>
      <c r="AP11" s="707" t="str">
        <f>IFERROR(IF(VLOOKUP($AN$1,[5]選択肢!$A:$L,11,FALSE)="","---",(VLOOKUP($AN$1,[5]選択肢!$A:$L,11,FALSE))),"サービス種別未選択")</f>
        <v>---</v>
      </c>
      <c r="AQ11" s="707"/>
      <c r="AR11" s="707" t="str">
        <f>IFERROR(IF(VLOOKUP($AN$1,[5]選択肢!$A:$L,12,FALSE)="","---",(VLOOKUP($AN$1,[5]選択肢!$A:$L,12,FALSE))),"サービス種別未選択")</f>
        <v>---</v>
      </c>
      <c r="AS11" s="707"/>
      <c r="AT11" s="508"/>
    </row>
    <row r="12" spans="1:53" s="503" customFormat="1" ht="24.95" customHeight="1">
      <c r="A12" s="497"/>
      <c r="B12" s="754"/>
      <c r="C12" s="721"/>
      <c r="D12" s="723"/>
      <c r="E12" s="509" t="s">
        <v>602</v>
      </c>
      <c r="F12" s="509" t="s">
        <v>603</v>
      </c>
      <c r="G12" s="510" t="s">
        <v>604</v>
      </c>
      <c r="H12" s="742" t="s">
        <v>605</v>
      </c>
      <c r="I12" s="742"/>
      <c r="J12" s="739" t="s">
        <v>606</v>
      </c>
      <c r="K12" s="740"/>
      <c r="L12" s="741"/>
      <c r="M12" s="739" t="s">
        <v>607</v>
      </c>
      <c r="N12" s="740"/>
      <c r="O12" s="741"/>
      <c r="P12" s="739" t="s">
        <v>606</v>
      </c>
      <c r="Q12" s="740"/>
      <c r="R12" s="741"/>
      <c r="S12" s="739" t="s">
        <v>607</v>
      </c>
      <c r="T12" s="740"/>
      <c r="U12" s="741"/>
      <c r="V12" s="739" t="s">
        <v>606</v>
      </c>
      <c r="W12" s="740"/>
      <c r="X12" s="741"/>
      <c r="Y12" s="739" t="s">
        <v>607</v>
      </c>
      <c r="Z12" s="740"/>
      <c r="AA12" s="741"/>
      <c r="AB12" s="739" t="s">
        <v>606</v>
      </c>
      <c r="AC12" s="740"/>
      <c r="AD12" s="741"/>
      <c r="AE12" s="739" t="s">
        <v>607</v>
      </c>
      <c r="AF12" s="740"/>
      <c r="AG12" s="741"/>
      <c r="AH12" s="739" t="s">
        <v>606</v>
      </c>
      <c r="AI12" s="740"/>
      <c r="AJ12" s="741"/>
      <c r="AK12" s="739" t="s">
        <v>607</v>
      </c>
      <c r="AL12" s="740"/>
      <c r="AM12" s="741"/>
      <c r="AN12" s="509" t="s">
        <v>602</v>
      </c>
      <c r="AO12" s="509" t="s">
        <v>603</v>
      </c>
      <c r="AP12" s="509" t="s">
        <v>602</v>
      </c>
      <c r="AQ12" s="509" t="s">
        <v>603</v>
      </c>
      <c r="AR12" s="509" t="s">
        <v>602</v>
      </c>
      <c r="AS12" s="509" t="s">
        <v>603</v>
      </c>
      <c r="AT12" s="508"/>
    </row>
    <row r="13" spans="1:53" s="503" customFormat="1" ht="18" customHeight="1">
      <c r="A13" s="497"/>
      <c r="B13" s="511" t="s">
        <v>608</v>
      </c>
      <c r="C13" s="696">
        <f>SUM(E13:AS13)</f>
        <v>0</v>
      </c>
      <c r="D13" s="697"/>
      <c r="E13" s="509">
        <f>COUNTIFS($B:$B,$E$11,$C:$C,"(A)常/専")</f>
        <v>0</v>
      </c>
      <c r="F13" s="509">
        <f>COUNTIFS($B:$B,$E$11,$C:$C,"(B)常/兼")</f>
        <v>0</v>
      </c>
      <c r="G13" s="509">
        <f>COUNTIFS($B:$B,$G$11,$C:$C,"(A)常/専")</f>
        <v>0</v>
      </c>
      <c r="H13" s="742">
        <f>COUNTIFS($B:$B,$G$11,$C:$C,"(B)常/兼")</f>
        <v>0</v>
      </c>
      <c r="I13" s="742"/>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609</v>
      </c>
      <c r="C14" s="696">
        <f>SUM(E14:AS14)</f>
        <v>0</v>
      </c>
      <c r="D14" s="697"/>
      <c r="E14" s="509">
        <f>COUNTIFS($B:$B,$E$11,$C:$C,"(C)非/専")</f>
        <v>0</v>
      </c>
      <c r="F14" s="509">
        <f>COUNTIFS($B:$B,$E$11,$C:$C,"(D)非/兼")</f>
        <v>0</v>
      </c>
      <c r="G14" s="509">
        <f>COUNTIFS($B:$B,$G$11,$C:$C,"(C)非/専")</f>
        <v>0</v>
      </c>
      <c r="H14" s="742">
        <f>COUNTIFS($B:$B,$G$11,$C:$C,"(D)非/兼")</f>
        <v>0</v>
      </c>
      <c r="I14" s="742"/>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610</v>
      </c>
      <c r="C15" s="696">
        <f>SUM(E15:AS15)-(SUMIFS($AR:$AR,$B:$B,"サービス管理責任者")+SUMIFS($AR:$AR,$B:$B,"医師")+SUMIFS($AR:$AR,$B:$B,"その他職員"))</f>
        <v>0</v>
      </c>
      <c r="D15" s="697"/>
      <c r="E15" s="732">
        <f>ROUND(SUMIF($B:$B,E11,$AR:$AR),1)</f>
        <v>0</v>
      </c>
      <c r="F15" s="734"/>
      <c r="G15" s="738">
        <f>ROUND(SUMIF($B:$B,G11,$AR:$AR),1)</f>
        <v>0</v>
      </c>
      <c r="H15" s="738"/>
      <c r="I15" s="738"/>
      <c r="J15" s="732">
        <f>ROUND(SUMIF($B:$B,J11,$AR:$AR),1)</f>
        <v>0</v>
      </c>
      <c r="K15" s="733"/>
      <c r="L15" s="733"/>
      <c r="M15" s="733"/>
      <c r="N15" s="733"/>
      <c r="O15" s="734"/>
      <c r="P15" s="732">
        <f>ROUND(SUMIF($B:$B,P11,$AR:$AR),1)</f>
        <v>0</v>
      </c>
      <c r="Q15" s="733"/>
      <c r="R15" s="733"/>
      <c r="S15" s="733"/>
      <c r="T15" s="733"/>
      <c r="U15" s="734"/>
      <c r="V15" s="732">
        <f>ROUND(SUMIF($B:$B,V11,$AR:$AR),1)</f>
        <v>0</v>
      </c>
      <c r="W15" s="733"/>
      <c r="X15" s="733"/>
      <c r="Y15" s="733"/>
      <c r="Z15" s="733"/>
      <c r="AA15" s="734"/>
      <c r="AB15" s="732">
        <f>ROUND(SUMIF($B:$B,AB11,$AR:$AR),1)</f>
        <v>0</v>
      </c>
      <c r="AC15" s="733"/>
      <c r="AD15" s="733"/>
      <c r="AE15" s="733"/>
      <c r="AF15" s="733"/>
      <c r="AG15" s="734"/>
      <c r="AH15" s="732">
        <f>ROUND(SUMIF($B:$B,AH11,$AR:$AR),1)</f>
        <v>0</v>
      </c>
      <c r="AI15" s="733"/>
      <c r="AJ15" s="733"/>
      <c r="AK15" s="733"/>
      <c r="AL15" s="733"/>
      <c r="AM15" s="734"/>
      <c r="AN15" s="732">
        <f>ROUND(SUMIF($B:$B,AN11,$AR:$AR),1)</f>
        <v>0</v>
      </c>
      <c r="AO15" s="734"/>
      <c r="AP15" s="732">
        <f>ROUND(SUMIF($B:$B,AP11,$AR:$AR),1)</f>
        <v>0</v>
      </c>
      <c r="AQ15" s="734"/>
      <c r="AR15" s="732">
        <f>SUMIF($B:$B,AR11,$AR:$AR)</f>
        <v>0</v>
      </c>
      <c r="AS15" s="734"/>
      <c r="AT15" s="508"/>
    </row>
    <row r="16" spans="1:53" s="503" customFormat="1" ht="18" customHeight="1">
      <c r="A16" s="497"/>
      <c r="B16" s="511" t="s">
        <v>611</v>
      </c>
      <c r="C16" s="735"/>
      <c r="D16" s="736"/>
      <c r="E16" s="727"/>
      <c r="F16" s="729"/>
      <c r="G16" s="737"/>
      <c r="H16" s="737"/>
      <c r="I16" s="737"/>
      <c r="J16" s="727"/>
      <c r="K16" s="728"/>
      <c r="L16" s="728"/>
      <c r="M16" s="728"/>
      <c r="N16" s="728"/>
      <c r="O16" s="729"/>
      <c r="P16" s="727"/>
      <c r="Q16" s="728"/>
      <c r="R16" s="728"/>
      <c r="S16" s="728"/>
      <c r="T16" s="728"/>
      <c r="U16" s="729"/>
      <c r="V16" s="727"/>
      <c r="W16" s="728"/>
      <c r="X16" s="728"/>
      <c r="Y16" s="728"/>
      <c r="Z16" s="728"/>
      <c r="AA16" s="729"/>
      <c r="AB16" s="727"/>
      <c r="AC16" s="728"/>
      <c r="AD16" s="728"/>
      <c r="AE16" s="728"/>
      <c r="AF16" s="728"/>
      <c r="AG16" s="729"/>
      <c r="AH16" s="727"/>
      <c r="AI16" s="728"/>
      <c r="AJ16" s="728"/>
      <c r="AK16" s="728"/>
      <c r="AL16" s="728"/>
      <c r="AM16" s="729"/>
      <c r="AN16" s="727"/>
      <c r="AO16" s="729"/>
      <c r="AP16" s="727"/>
      <c r="AQ16" s="729"/>
      <c r="AR16" s="727"/>
      <c r="AS16" s="729"/>
      <c r="AT16" s="508"/>
    </row>
    <row r="17" spans="1:51" s="503" customFormat="1" ht="7.5" customHeight="1">
      <c r="A17" s="497"/>
      <c r="B17" s="730" t="s">
        <v>612</v>
      </c>
      <c r="C17" s="730"/>
      <c r="D17" s="730"/>
      <c r="E17" s="730"/>
      <c r="F17" s="730"/>
      <c r="G17" s="730"/>
      <c r="H17" s="730"/>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31"/>
      <c r="C18" s="731"/>
      <c r="D18" s="731"/>
      <c r="E18" s="731"/>
      <c r="F18" s="731"/>
      <c r="G18" s="731"/>
      <c r="H18" s="731"/>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613</v>
      </c>
      <c r="AO18" s="502"/>
      <c r="AP18" s="497"/>
      <c r="AQ18" s="497"/>
      <c r="AR18" s="502"/>
      <c r="AS18" s="502"/>
      <c r="AT18" s="501"/>
    </row>
    <row r="19" spans="1:51" s="500" customFormat="1" ht="15" customHeight="1">
      <c r="A19" s="708" t="s">
        <v>26</v>
      </c>
      <c r="B19" s="707" t="s">
        <v>614</v>
      </c>
      <c r="C19" s="709" t="s">
        <v>615</v>
      </c>
      <c r="D19" s="710"/>
      <c r="E19" s="707" t="s">
        <v>616</v>
      </c>
      <c r="F19" s="715" t="s">
        <v>617</v>
      </c>
      <c r="G19" s="716"/>
      <c r="H19" s="717"/>
      <c r="I19" s="724" t="s">
        <v>618</v>
      </c>
      <c r="J19" s="725"/>
      <c r="K19" s="725"/>
      <c r="L19" s="725"/>
      <c r="M19" s="725"/>
      <c r="N19" s="725"/>
      <c r="O19" s="725"/>
      <c r="P19" s="725"/>
      <c r="Q19" s="725"/>
      <c r="R19" s="725"/>
      <c r="S19" s="725"/>
      <c r="T19" s="725"/>
      <c r="U19" s="725"/>
      <c r="V19" s="725"/>
      <c r="W19" s="725"/>
      <c r="X19" s="725"/>
      <c r="Y19" s="725"/>
      <c r="Z19" s="725"/>
      <c r="AA19" s="725"/>
      <c r="AB19" s="725"/>
      <c r="AC19" s="725"/>
      <c r="AD19" s="725"/>
      <c r="AE19" s="725"/>
      <c r="AF19" s="725"/>
      <c r="AG19" s="725"/>
      <c r="AH19" s="725"/>
      <c r="AI19" s="725"/>
      <c r="AJ19" s="725"/>
      <c r="AK19" s="725"/>
      <c r="AL19" s="725"/>
      <c r="AM19" s="726"/>
      <c r="AN19" s="698" t="s">
        <v>619</v>
      </c>
      <c r="AO19" s="699" t="s">
        <v>620</v>
      </c>
      <c r="AP19" s="700" t="s">
        <v>621</v>
      </c>
      <c r="AQ19" s="701"/>
      <c r="AR19" s="699" t="s">
        <v>622</v>
      </c>
      <c r="AS19" s="699"/>
      <c r="AT19" s="501"/>
    </row>
    <row r="20" spans="1:51" s="500" customFormat="1" ht="15" customHeight="1">
      <c r="A20" s="708"/>
      <c r="B20" s="707"/>
      <c r="C20" s="711"/>
      <c r="D20" s="712"/>
      <c r="E20" s="707"/>
      <c r="F20" s="718"/>
      <c r="G20" s="719"/>
      <c r="H20" s="720"/>
      <c r="I20" s="696" t="s">
        <v>623</v>
      </c>
      <c r="J20" s="706"/>
      <c r="K20" s="706"/>
      <c r="L20" s="706"/>
      <c r="M20" s="706"/>
      <c r="N20" s="706"/>
      <c r="O20" s="697"/>
      <c r="P20" s="707" t="s">
        <v>624</v>
      </c>
      <c r="Q20" s="707"/>
      <c r="R20" s="707"/>
      <c r="S20" s="707"/>
      <c r="T20" s="707"/>
      <c r="U20" s="707"/>
      <c r="V20" s="707"/>
      <c r="W20" s="707" t="s">
        <v>625</v>
      </c>
      <c r="X20" s="707"/>
      <c r="Y20" s="707"/>
      <c r="Z20" s="707"/>
      <c r="AA20" s="707"/>
      <c r="AB20" s="707"/>
      <c r="AC20" s="707"/>
      <c r="AD20" s="707" t="s">
        <v>626</v>
      </c>
      <c r="AE20" s="707"/>
      <c r="AF20" s="707"/>
      <c r="AG20" s="707"/>
      <c r="AH20" s="707"/>
      <c r="AI20" s="707"/>
      <c r="AJ20" s="707"/>
      <c r="AK20" s="707" t="str">
        <f>IF(AN3="暦月","第５週","")</f>
        <v>第５週</v>
      </c>
      <c r="AL20" s="707"/>
      <c r="AM20" s="707"/>
      <c r="AN20" s="698"/>
      <c r="AO20" s="699"/>
      <c r="AP20" s="702"/>
      <c r="AQ20" s="703"/>
      <c r="AR20" s="699"/>
      <c r="AS20" s="699"/>
      <c r="AT20" s="501"/>
    </row>
    <row r="21" spans="1:51" s="500" customFormat="1" ht="15" customHeight="1">
      <c r="A21" s="708"/>
      <c r="B21" s="707"/>
      <c r="C21" s="711"/>
      <c r="D21" s="712"/>
      <c r="E21" s="707"/>
      <c r="F21" s="718"/>
      <c r="G21" s="719"/>
      <c r="H21" s="720"/>
      <c r="I21" s="515">
        <f>DATE($P$2,$V$2,1)</f>
        <v>45505</v>
      </c>
      <c r="J21" s="515">
        <f>DATE($P$2,$V$2,2)</f>
        <v>45506</v>
      </c>
      <c r="K21" s="515">
        <f>DATE($P$2,$V$2,3)</f>
        <v>45507</v>
      </c>
      <c r="L21" s="515">
        <f>DATE($P$2,$V$2,4)</f>
        <v>45508</v>
      </c>
      <c r="M21" s="515">
        <f>DATE($P$2,$V$2,5)</f>
        <v>45509</v>
      </c>
      <c r="N21" s="515">
        <f>DATE($P$2,$V$2,6)</f>
        <v>45510</v>
      </c>
      <c r="O21" s="515">
        <f>DATE($P$2,$V$2,7)</f>
        <v>45511</v>
      </c>
      <c r="P21" s="515">
        <f>DATE($P$2,$V$2,8)</f>
        <v>45512</v>
      </c>
      <c r="Q21" s="515">
        <f>DATE($P$2,$V$2,9)</f>
        <v>45513</v>
      </c>
      <c r="R21" s="515">
        <f>DATE($P$2,$V$2,10)</f>
        <v>45514</v>
      </c>
      <c r="S21" s="515">
        <f>DATE($P$2,$V$2,11)</f>
        <v>45515</v>
      </c>
      <c r="T21" s="515">
        <f>DATE($P$2,$V$2,12)</f>
        <v>45516</v>
      </c>
      <c r="U21" s="515">
        <f>DATE($P$2,$V$2,13)</f>
        <v>45517</v>
      </c>
      <c r="V21" s="515">
        <f>DATE($P$2,$V$2,14)</f>
        <v>45518</v>
      </c>
      <c r="W21" s="515">
        <f>DATE($P$2,$V$2,15)</f>
        <v>45519</v>
      </c>
      <c r="X21" s="515">
        <f>DATE($P$2,$V$2,16)</f>
        <v>45520</v>
      </c>
      <c r="Y21" s="515">
        <f>DATE($P$2,$V$2,17)</f>
        <v>45521</v>
      </c>
      <c r="Z21" s="515">
        <f>DATE($P$2,$V$2,18)</f>
        <v>45522</v>
      </c>
      <c r="AA21" s="515">
        <f>DATE($P$2,$V$2,19)</f>
        <v>45523</v>
      </c>
      <c r="AB21" s="515">
        <f>DATE($P$2,$V$2,20)</f>
        <v>45524</v>
      </c>
      <c r="AC21" s="515">
        <f>DATE($P$2,$V$2,21)</f>
        <v>45525</v>
      </c>
      <c r="AD21" s="515">
        <f>DATE($P$2,$V$2,22)</f>
        <v>45526</v>
      </c>
      <c r="AE21" s="515">
        <f>DATE($P$2,$V$2,23)</f>
        <v>45527</v>
      </c>
      <c r="AF21" s="515">
        <f>DATE($P$2,$V$2,24)</f>
        <v>45528</v>
      </c>
      <c r="AG21" s="515">
        <f>DATE($P$2,$V$2,25)</f>
        <v>45529</v>
      </c>
      <c r="AH21" s="515">
        <f>DATE($P$2,$V$2,26)</f>
        <v>45530</v>
      </c>
      <c r="AI21" s="515">
        <f>DATE($P$2,$V$2,27)</f>
        <v>45531</v>
      </c>
      <c r="AJ21" s="515">
        <f>DATE($P$2,$V$2,28)</f>
        <v>45532</v>
      </c>
      <c r="AK21" s="515">
        <f>IF(AN3="暦月",IF(DAY(EOMONTH(I21,0))&lt;29,"",DATE($P$2,$V$2,29)),"")</f>
        <v>45533</v>
      </c>
      <c r="AL21" s="515">
        <f>IF(AN3="暦月",IF(DAY(EOMONTH(I21,0))&lt;30,"",DATE($P$2,$V$2,30)),"")</f>
        <v>45534</v>
      </c>
      <c r="AM21" s="515">
        <f>IF(AN3="暦月",IF(DAY(EOMONTH(I21,0))&lt;31,"",DATE($P$2,$V$2,31)),"")</f>
        <v>45535</v>
      </c>
      <c r="AN21" s="698"/>
      <c r="AO21" s="699"/>
      <c r="AP21" s="702"/>
      <c r="AQ21" s="703"/>
      <c r="AR21" s="699"/>
      <c r="AS21" s="699"/>
      <c r="AT21" s="501"/>
    </row>
    <row r="22" spans="1:51" s="500" customFormat="1" ht="15" customHeight="1">
      <c r="A22" s="708"/>
      <c r="B22" s="707"/>
      <c r="C22" s="713"/>
      <c r="D22" s="714"/>
      <c r="E22" s="707"/>
      <c r="F22" s="721"/>
      <c r="G22" s="722"/>
      <c r="H22" s="723"/>
      <c r="I22" s="516">
        <f>DATE($P$2,$V$2,1)</f>
        <v>45505</v>
      </c>
      <c r="J22" s="516">
        <f>DATE($P$2,$V$2,2)</f>
        <v>45506</v>
      </c>
      <c r="K22" s="516">
        <f>DATE($P$2,$V$2,3)</f>
        <v>45507</v>
      </c>
      <c r="L22" s="516">
        <f>DATE($P$2,$V$2,4)</f>
        <v>45508</v>
      </c>
      <c r="M22" s="516">
        <f>DATE($P$2,$V$2,5)</f>
        <v>45509</v>
      </c>
      <c r="N22" s="516">
        <f>DATE($P$2,$V$2,6)</f>
        <v>45510</v>
      </c>
      <c r="O22" s="516">
        <f>DATE($P$2,$V$2,7)</f>
        <v>45511</v>
      </c>
      <c r="P22" s="516">
        <f>DATE($P$2,$V$2,8)</f>
        <v>45512</v>
      </c>
      <c r="Q22" s="516">
        <f>DATE($P$2,$V$2,9)</f>
        <v>45513</v>
      </c>
      <c r="R22" s="516">
        <f>DATE($P$2,$V$2,10)</f>
        <v>45514</v>
      </c>
      <c r="S22" s="516">
        <f>DATE($P$2,$V$2,11)</f>
        <v>45515</v>
      </c>
      <c r="T22" s="516">
        <f>DATE($P$2,$V$2,12)</f>
        <v>45516</v>
      </c>
      <c r="U22" s="516">
        <f>DATE($P$2,$V$2,13)</f>
        <v>45517</v>
      </c>
      <c r="V22" s="516">
        <f>DATE($P$2,$V$2,14)</f>
        <v>45518</v>
      </c>
      <c r="W22" s="516">
        <f>DATE($P$2,$V$2,15)</f>
        <v>45519</v>
      </c>
      <c r="X22" s="516">
        <f>DATE($P$2,$V$2,16)</f>
        <v>45520</v>
      </c>
      <c r="Y22" s="516">
        <f>DATE($P$2,$V$2,17)</f>
        <v>45521</v>
      </c>
      <c r="Z22" s="516">
        <f>DATE($P$2,$V$2,18)</f>
        <v>45522</v>
      </c>
      <c r="AA22" s="516">
        <f>DATE($P$2,$V$2,19)</f>
        <v>45523</v>
      </c>
      <c r="AB22" s="516">
        <f>DATE($P$2,$V$2,20)</f>
        <v>45524</v>
      </c>
      <c r="AC22" s="516">
        <f>DATE($P$2,$V$2,21)</f>
        <v>45525</v>
      </c>
      <c r="AD22" s="516">
        <f>DATE($P$2,$V$2,22)</f>
        <v>45526</v>
      </c>
      <c r="AE22" s="516">
        <f>DATE($P$2,$V$2,23)</f>
        <v>45527</v>
      </c>
      <c r="AF22" s="516">
        <f>DATE($P$2,$V$2,24)</f>
        <v>45528</v>
      </c>
      <c r="AG22" s="516">
        <f>DATE($P$2,$V$2,25)</f>
        <v>45529</v>
      </c>
      <c r="AH22" s="516">
        <f>DATE($P$2,$V$2,26)</f>
        <v>45530</v>
      </c>
      <c r="AI22" s="516">
        <f>DATE($P$2,$V$2,27)</f>
        <v>45531</v>
      </c>
      <c r="AJ22" s="516">
        <f>DATE($P$2,$V$2,28)</f>
        <v>45532</v>
      </c>
      <c r="AK22" s="516">
        <f>IF(AN3="暦月",IF(DAY(EOMONTH(I22,0))&lt;29,"",DATE($P$2,$V$2,29)),"")</f>
        <v>45533</v>
      </c>
      <c r="AL22" s="516">
        <f>IF(AN3="暦月",IF(DAY(EOMONTH(I22,0))&lt;30,"",DATE($P$2,$V$2,30)),"")</f>
        <v>45534</v>
      </c>
      <c r="AM22" s="516">
        <f>IF(AN3="暦月",IF(DAY(EOMONTH(I22,0))&lt;31,"",DATE($P$2,$V$2,31)),"")</f>
        <v>45535</v>
      </c>
      <c r="AN22" s="698"/>
      <c r="AO22" s="699"/>
      <c r="AP22" s="704"/>
      <c r="AQ22" s="705"/>
      <c r="AR22" s="699"/>
      <c r="AS22" s="699"/>
      <c r="AT22" s="501"/>
      <c r="AU22" s="696" t="s">
        <v>610</v>
      </c>
      <c r="AV22" s="697"/>
      <c r="AX22" s="696" t="s">
        <v>627</v>
      </c>
      <c r="AY22" s="697"/>
    </row>
    <row r="23" spans="1:51" s="500" customFormat="1" ht="12" customHeight="1">
      <c r="A23" s="672">
        <v>1</v>
      </c>
      <c r="B23" s="675" t="s">
        <v>682</v>
      </c>
      <c r="C23" s="693"/>
      <c r="D23" s="681" t="s">
        <v>628</v>
      </c>
      <c r="E23" s="517"/>
      <c r="F23" s="684"/>
      <c r="G23" s="685"/>
      <c r="H23" s="518" t="s">
        <v>629</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90">
        <f>IF(LEFT($AN$1,6)="共同生活援助",SUM(I24:AM24),SUM(I24:AM25))</f>
        <v>0</v>
      </c>
      <c r="AO23" s="662">
        <f>IF($AN$3="４週",AN23/4,AN23/(DAY(EOMONTH($I$21,0))/7))</f>
        <v>0</v>
      </c>
      <c r="AP23" s="665"/>
      <c r="AQ23" s="666"/>
      <c r="AR23" s="662" t="str">
        <f>IF($AN$3="４週",AU24,AV24)</f>
        <v/>
      </c>
      <c r="AS23" s="662"/>
      <c r="AT23" s="671" t="str">
        <f>IF(AX24&lt;=1.1,"",IF(AY24&lt;=1.1,"",IF(F23="","","勤務時間"&amp;CHAR(10)&amp;"OVER")))</f>
        <v/>
      </c>
      <c r="AU23" s="520" t="s">
        <v>630</v>
      </c>
      <c r="AV23" s="520" t="s">
        <v>631</v>
      </c>
      <c r="AX23" s="520" t="s">
        <v>632</v>
      </c>
      <c r="AY23" s="520" t="s">
        <v>633</v>
      </c>
    </row>
    <row r="24" spans="1:51" s="500" customFormat="1" ht="12" customHeight="1">
      <c r="A24" s="673"/>
      <c r="B24" s="676"/>
      <c r="C24" s="694"/>
      <c r="D24" s="682"/>
      <c r="E24" s="521"/>
      <c r="F24" s="686"/>
      <c r="G24" s="687"/>
      <c r="H24" s="522" t="s">
        <v>634</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91"/>
      <c r="AO24" s="663"/>
      <c r="AP24" s="667"/>
      <c r="AQ24" s="668"/>
      <c r="AR24" s="663"/>
      <c r="AS24" s="663"/>
      <c r="AT24" s="671"/>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4"/>
      <c r="B25" s="677"/>
      <c r="C25" s="695"/>
      <c r="D25" s="683"/>
      <c r="E25" s="521"/>
      <c r="F25" s="688"/>
      <c r="G25" s="689"/>
      <c r="H25" s="525" t="s">
        <v>635</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92"/>
      <c r="AO25" s="664"/>
      <c r="AP25" s="669"/>
      <c r="AQ25" s="670"/>
      <c r="AR25" s="664"/>
      <c r="AS25" s="664"/>
      <c r="AT25" s="671"/>
      <c r="AU25" s="527"/>
      <c r="AV25" s="527"/>
      <c r="AX25" s="527"/>
      <c r="AY25" s="527"/>
    </row>
    <row r="26" spans="1:51" s="500" customFormat="1" ht="12" customHeight="1">
      <c r="A26" s="672">
        <v>2</v>
      </c>
      <c r="B26" s="675" t="s">
        <v>688</v>
      </c>
      <c r="C26" s="693"/>
      <c r="D26" s="681" t="s">
        <v>628</v>
      </c>
      <c r="E26" s="517"/>
      <c r="F26" s="684"/>
      <c r="G26" s="685"/>
      <c r="H26" s="518" t="s">
        <v>629</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90">
        <f t="shared" ref="AN26" si="2">IF(LEFT($AN$1,6)="共同生活援助",SUM(I27:AM27),SUM(I27:AM28))</f>
        <v>0</v>
      </c>
      <c r="AO26" s="662">
        <f>IF($AN$3="４週",AN26/4,AN26/(DAY(EOMONTH($I$21,0))/7))</f>
        <v>0</v>
      </c>
      <c r="AP26" s="665"/>
      <c r="AQ26" s="666"/>
      <c r="AR26" s="662" t="str">
        <f>IF($AN$3="４週",AU27,AV27)</f>
        <v/>
      </c>
      <c r="AS26" s="662"/>
      <c r="AT26" s="671" t="str">
        <f t="shared" ref="AT26" si="3">IF(AX27&lt;=1.1,"",IF(AY27&lt;=1.1,"",IF(F26="","","勤務時間"&amp;CHAR(10)&amp;"OVER")))</f>
        <v/>
      </c>
      <c r="AU26" s="520" t="s">
        <v>630</v>
      </c>
      <c r="AV26" s="520" t="s">
        <v>631</v>
      </c>
      <c r="AX26" s="520" t="s">
        <v>632</v>
      </c>
      <c r="AY26" s="520" t="s">
        <v>633</v>
      </c>
    </row>
    <row r="27" spans="1:51" s="500" customFormat="1" ht="12" customHeight="1">
      <c r="A27" s="673"/>
      <c r="B27" s="676"/>
      <c r="C27" s="694"/>
      <c r="D27" s="682"/>
      <c r="E27" s="521"/>
      <c r="F27" s="686"/>
      <c r="G27" s="687"/>
      <c r="H27" s="522" t="s">
        <v>634</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91"/>
      <c r="AO27" s="663"/>
      <c r="AP27" s="667"/>
      <c r="AQ27" s="668"/>
      <c r="AR27" s="663"/>
      <c r="AS27" s="663"/>
      <c r="AT27" s="671"/>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4"/>
      <c r="B28" s="677"/>
      <c r="C28" s="695"/>
      <c r="D28" s="683"/>
      <c r="E28" s="521"/>
      <c r="F28" s="688"/>
      <c r="G28" s="689"/>
      <c r="H28" s="525" t="s">
        <v>635</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92"/>
      <c r="AO28" s="664"/>
      <c r="AP28" s="669"/>
      <c r="AQ28" s="670"/>
      <c r="AR28" s="664"/>
      <c r="AS28" s="664"/>
      <c r="AT28" s="671"/>
      <c r="AU28" s="527"/>
      <c r="AV28" s="527"/>
      <c r="AX28" s="527"/>
      <c r="AY28" s="527"/>
    </row>
    <row r="29" spans="1:51" s="500" customFormat="1" ht="12" customHeight="1">
      <c r="A29" s="672">
        <v>3</v>
      </c>
      <c r="B29" s="675"/>
      <c r="C29" s="693"/>
      <c r="D29" s="681" t="s">
        <v>628</v>
      </c>
      <c r="E29" s="517"/>
      <c r="F29" s="684"/>
      <c r="G29" s="685"/>
      <c r="H29" s="518" t="s">
        <v>629</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90">
        <f t="shared" ref="AN29" si="6">IF(LEFT($AN$1,6)="共同生活援助",SUM(I30:AM30),SUM(I30:AM31))</f>
        <v>0</v>
      </c>
      <c r="AO29" s="662">
        <f>IF($AN$3="４週",AN29/4,AN29/(DAY(EOMONTH($I$21,0))/7))</f>
        <v>0</v>
      </c>
      <c r="AP29" s="665"/>
      <c r="AQ29" s="666"/>
      <c r="AR29" s="662" t="str">
        <f>IF($AN$3="４週",AU30,AV30)</f>
        <v/>
      </c>
      <c r="AS29" s="662"/>
      <c r="AT29" s="671" t="str">
        <f t="shared" ref="AT29" si="7">IF(AX30&lt;=1.1,"",IF(AY30&lt;=1.1,"",IF(F29="","","勤務時間"&amp;CHAR(10)&amp;"OVER")))</f>
        <v/>
      </c>
      <c r="AU29" s="520" t="s">
        <v>630</v>
      </c>
      <c r="AV29" s="520" t="s">
        <v>631</v>
      </c>
      <c r="AX29" s="520" t="s">
        <v>632</v>
      </c>
      <c r="AY29" s="520" t="s">
        <v>633</v>
      </c>
    </row>
    <row r="30" spans="1:51" s="500" customFormat="1" ht="12" customHeight="1">
      <c r="A30" s="673"/>
      <c r="B30" s="676"/>
      <c r="C30" s="694"/>
      <c r="D30" s="682"/>
      <c r="E30" s="521"/>
      <c r="F30" s="686"/>
      <c r="G30" s="687"/>
      <c r="H30" s="522" t="s">
        <v>634</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91"/>
      <c r="AO30" s="663"/>
      <c r="AP30" s="667"/>
      <c r="AQ30" s="668"/>
      <c r="AR30" s="663"/>
      <c r="AS30" s="663"/>
      <c r="AT30" s="671"/>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4"/>
      <c r="B31" s="677"/>
      <c r="C31" s="695"/>
      <c r="D31" s="683"/>
      <c r="E31" s="521"/>
      <c r="F31" s="688"/>
      <c r="G31" s="689"/>
      <c r="H31" s="525" t="s">
        <v>635</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92"/>
      <c r="AO31" s="664"/>
      <c r="AP31" s="669"/>
      <c r="AQ31" s="670"/>
      <c r="AR31" s="664"/>
      <c r="AS31" s="664"/>
      <c r="AT31" s="671"/>
      <c r="AU31" s="527"/>
      <c r="AV31" s="527"/>
      <c r="AX31" s="527"/>
      <c r="AY31" s="527"/>
    </row>
    <row r="32" spans="1:51" s="500" customFormat="1" ht="12" customHeight="1">
      <c r="A32" s="672">
        <v>4</v>
      </c>
      <c r="B32" s="675"/>
      <c r="C32" s="693"/>
      <c r="D32" s="681" t="s">
        <v>628</v>
      </c>
      <c r="E32" s="517"/>
      <c r="F32" s="684"/>
      <c r="G32" s="685"/>
      <c r="H32" s="518" t="s">
        <v>629</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90">
        <f t="shared" ref="AN32" si="10">IF(LEFT($AN$1,6)="共同生活援助",SUM(I33:AM33),SUM(I33:AM34))</f>
        <v>0</v>
      </c>
      <c r="AO32" s="662">
        <f>IF($AN$3="４週",AN32/4,AN32/(DAY(EOMONTH($I$21,0))/7))</f>
        <v>0</v>
      </c>
      <c r="AP32" s="665"/>
      <c r="AQ32" s="666"/>
      <c r="AR32" s="662" t="str">
        <f t="shared" ref="AR32" si="11">IF($AN$3="４週",AU33,AV33)</f>
        <v/>
      </c>
      <c r="AS32" s="662"/>
      <c r="AT32" s="671" t="str">
        <f t="shared" ref="AT32" si="12">IF(AX33&lt;=1.1,"",IF(AY33&lt;=1.1,"",IF(F32="","","勤務時間"&amp;CHAR(10)&amp;"OVER")))</f>
        <v/>
      </c>
      <c r="AU32" s="520" t="s">
        <v>630</v>
      </c>
      <c r="AV32" s="520" t="s">
        <v>631</v>
      </c>
      <c r="AX32" s="520" t="s">
        <v>632</v>
      </c>
      <c r="AY32" s="520" t="s">
        <v>633</v>
      </c>
    </row>
    <row r="33" spans="1:51" s="500" customFormat="1" ht="12" customHeight="1">
      <c r="A33" s="673"/>
      <c r="B33" s="676"/>
      <c r="C33" s="694"/>
      <c r="D33" s="682"/>
      <c r="E33" s="521"/>
      <c r="F33" s="686"/>
      <c r="G33" s="687"/>
      <c r="H33" s="522" t="s">
        <v>634</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91"/>
      <c r="AO33" s="663"/>
      <c r="AP33" s="667"/>
      <c r="AQ33" s="668"/>
      <c r="AR33" s="663"/>
      <c r="AS33" s="663"/>
      <c r="AT33" s="671"/>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4"/>
      <c r="B34" s="677"/>
      <c r="C34" s="695"/>
      <c r="D34" s="683"/>
      <c r="E34" s="521"/>
      <c r="F34" s="688"/>
      <c r="G34" s="689"/>
      <c r="H34" s="525" t="s">
        <v>635</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92"/>
      <c r="AO34" s="664"/>
      <c r="AP34" s="669"/>
      <c r="AQ34" s="670"/>
      <c r="AR34" s="664"/>
      <c r="AS34" s="664"/>
      <c r="AT34" s="671"/>
      <c r="AU34" s="527"/>
      <c r="AV34" s="527"/>
      <c r="AX34" s="527"/>
      <c r="AY34" s="527"/>
    </row>
    <row r="35" spans="1:51" s="500" customFormat="1" ht="12" customHeight="1">
      <c r="A35" s="672">
        <v>5</v>
      </c>
      <c r="B35" s="675"/>
      <c r="C35" s="693"/>
      <c r="D35" s="681" t="s">
        <v>628</v>
      </c>
      <c r="E35" s="517"/>
      <c r="F35" s="684"/>
      <c r="G35" s="685"/>
      <c r="H35" s="518" t="s">
        <v>629</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90">
        <f t="shared" ref="AN35" si="15">IF(LEFT($AN$1,6)="共同生活援助",SUM(I36:AM36),SUM(I36:AM37))</f>
        <v>0</v>
      </c>
      <c r="AO35" s="662">
        <f>IF($AN$3="４週",AN35/4,AN35/(DAY(EOMONTH($I$21,0))/7))</f>
        <v>0</v>
      </c>
      <c r="AP35" s="665"/>
      <c r="AQ35" s="666"/>
      <c r="AR35" s="662" t="str">
        <f t="shared" ref="AR35" si="16">IF($AN$3="４週",AU36,AV36)</f>
        <v/>
      </c>
      <c r="AS35" s="662"/>
      <c r="AT35" s="671" t="str">
        <f t="shared" ref="AT35" si="17">IF(AX36&lt;=1.1,"",IF(AY36&lt;=1.1,"",IF(F35="","","勤務時間"&amp;CHAR(10)&amp;"OVER")))</f>
        <v/>
      </c>
      <c r="AU35" s="520" t="s">
        <v>630</v>
      </c>
      <c r="AV35" s="520" t="s">
        <v>631</v>
      </c>
      <c r="AX35" s="520" t="s">
        <v>632</v>
      </c>
      <c r="AY35" s="520" t="s">
        <v>633</v>
      </c>
    </row>
    <row r="36" spans="1:51" s="500" customFormat="1" ht="12" customHeight="1">
      <c r="A36" s="673"/>
      <c r="B36" s="676"/>
      <c r="C36" s="694"/>
      <c r="D36" s="682"/>
      <c r="E36" s="521"/>
      <c r="F36" s="686"/>
      <c r="G36" s="687"/>
      <c r="H36" s="522" t="s">
        <v>634</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91"/>
      <c r="AO36" s="663"/>
      <c r="AP36" s="667"/>
      <c r="AQ36" s="668"/>
      <c r="AR36" s="663"/>
      <c r="AS36" s="663"/>
      <c r="AT36" s="671"/>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4"/>
      <c r="B37" s="677"/>
      <c r="C37" s="695"/>
      <c r="D37" s="683"/>
      <c r="E37" s="521"/>
      <c r="F37" s="688"/>
      <c r="G37" s="689"/>
      <c r="H37" s="525" t="s">
        <v>635</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92"/>
      <c r="AO37" s="664"/>
      <c r="AP37" s="669"/>
      <c r="AQ37" s="670"/>
      <c r="AR37" s="664"/>
      <c r="AS37" s="664"/>
      <c r="AT37" s="671"/>
      <c r="AU37" s="527"/>
      <c r="AV37" s="527"/>
      <c r="AX37" s="527"/>
      <c r="AY37" s="527"/>
    </row>
    <row r="38" spans="1:51" s="500" customFormat="1" ht="12" customHeight="1">
      <c r="A38" s="672">
        <v>6</v>
      </c>
      <c r="B38" s="675"/>
      <c r="C38" s="693"/>
      <c r="D38" s="681" t="s">
        <v>628</v>
      </c>
      <c r="E38" s="517"/>
      <c r="F38" s="684"/>
      <c r="G38" s="685"/>
      <c r="H38" s="518" t="s">
        <v>629</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90">
        <f t="shared" ref="AN38" si="20">IF(LEFT($AN$1,6)="共同生活援助",SUM(I39:AM39),SUM(I39:AM40))</f>
        <v>0</v>
      </c>
      <c r="AO38" s="662">
        <f>IF($AN$3="４週",AN38/4,AN38/(DAY(EOMONTH($I$21,0))/7))</f>
        <v>0</v>
      </c>
      <c r="AP38" s="665"/>
      <c r="AQ38" s="666"/>
      <c r="AR38" s="662" t="str">
        <f t="shared" ref="AR38" si="21">IF($AN$3="４週",AU39,AV39)</f>
        <v/>
      </c>
      <c r="AS38" s="662"/>
      <c r="AT38" s="671" t="str">
        <f t="shared" ref="AT38" si="22">IF(AX39&lt;=1.1,"",IF(AY39&lt;=1.1,"",IF(F38="","","勤務時間"&amp;CHAR(10)&amp;"OVER")))</f>
        <v/>
      </c>
      <c r="AU38" s="520" t="s">
        <v>630</v>
      </c>
      <c r="AV38" s="520" t="s">
        <v>631</v>
      </c>
      <c r="AX38" s="520" t="s">
        <v>632</v>
      </c>
      <c r="AY38" s="520" t="s">
        <v>633</v>
      </c>
    </row>
    <row r="39" spans="1:51" s="500" customFormat="1" ht="12" customHeight="1">
      <c r="A39" s="673"/>
      <c r="B39" s="676"/>
      <c r="C39" s="694"/>
      <c r="D39" s="682"/>
      <c r="E39" s="521"/>
      <c r="F39" s="686"/>
      <c r="G39" s="687"/>
      <c r="H39" s="522" t="s">
        <v>634</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91"/>
      <c r="AO39" s="663"/>
      <c r="AP39" s="667"/>
      <c r="AQ39" s="668"/>
      <c r="AR39" s="663"/>
      <c r="AS39" s="663"/>
      <c r="AT39" s="671"/>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4"/>
      <c r="B40" s="677"/>
      <c r="C40" s="695"/>
      <c r="D40" s="683"/>
      <c r="E40" s="521"/>
      <c r="F40" s="688"/>
      <c r="G40" s="689"/>
      <c r="H40" s="525" t="s">
        <v>635</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92"/>
      <c r="AO40" s="664"/>
      <c r="AP40" s="669"/>
      <c r="AQ40" s="670"/>
      <c r="AR40" s="664"/>
      <c r="AS40" s="664"/>
      <c r="AT40" s="671"/>
      <c r="AU40" s="527"/>
      <c r="AV40" s="527"/>
      <c r="AX40" s="527"/>
      <c r="AY40" s="527"/>
    </row>
    <row r="41" spans="1:51" s="500" customFormat="1" ht="12" customHeight="1">
      <c r="A41" s="672">
        <v>7</v>
      </c>
      <c r="B41" s="675"/>
      <c r="C41" s="693"/>
      <c r="D41" s="681" t="s">
        <v>628</v>
      </c>
      <c r="E41" s="517"/>
      <c r="F41" s="684"/>
      <c r="G41" s="685"/>
      <c r="H41" s="518" t="s">
        <v>629</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90">
        <f t="shared" ref="AN41" si="25">IF(LEFT($AN$1,6)="共同生活援助",SUM(I42:AM42),SUM(I42:AM43))</f>
        <v>0</v>
      </c>
      <c r="AO41" s="662">
        <f>IF($AN$3="４週",AN41/4,AN41/(DAY(EOMONTH($I$21,0))/7))</f>
        <v>0</v>
      </c>
      <c r="AP41" s="665"/>
      <c r="AQ41" s="666"/>
      <c r="AR41" s="662" t="str">
        <f t="shared" ref="AR41" si="26">IF($AN$3="４週",AU42,AV42)</f>
        <v/>
      </c>
      <c r="AS41" s="662"/>
      <c r="AT41" s="671" t="str">
        <f t="shared" ref="AT41" si="27">IF(AX42&lt;=1.1,"",IF(AY42&lt;=1.1,"",IF(F41="","","勤務時間"&amp;CHAR(10)&amp;"OVER")))</f>
        <v/>
      </c>
      <c r="AU41" s="520" t="s">
        <v>630</v>
      </c>
      <c r="AV41" s="520" t="s">
        <v>631</v>
      </c>
      <c r="AX41" s="520" t="s">
        <v>632</v>
      </c>
      <c r="AY41" s="520" t="s">
        <v>633</v>
      </c>
    </row>
    <row r="42" spans="1:51" s="500" customFormat="1" ht="12" customHeight="1">
      <c r="A42" s="673"/>
      <c r="B42" s="676"/>
      <c r="C42" s="694"/>
      <c r="D42" s="682"/>
      <c r="E42" s="521"/>
      <c r="F42" s="686"/>
      <c r="G42" s="687"/>
      <c r="H42" s="522" t="s">
        <v>634</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91"/>
      <c r="AO42" s="663"/>
      <c r="AP42" s="667"/>
      <c r="AQ42" s="668"/>
      <c r="AR42" s="663"/>
      <c r="AS42" s="663"/>
      <c r="AT42" s="671"/>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4"/>
      <c r="B43" s="677"/>
      <c r="C43" s="695"/>
      <c r="D43" s="683"/>
      <c r="E43" s="521"/>
      <c r="F43" s="688"/>
      <c r="G43" s="689"/>
      <c r="H43" s="525" t="s">
        <v>635</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92"/>
      <c r="AO43" s="664"/>
      <c r="AP43" s="669"/>
      <c r="AQ43" s="670"/>
      <c r="AR43" s="664"/>
      <c r="AS43" s="664"/>
      <c r="AT43" s="671"/>
      <c r="AU43" s="527"/>
      <c r="AV43" s="527"/>
      <c r="AX43" s="527"/>
      <c r="AY43" s="527"/>
    </row>
    <row r="44" spans="1:51" s="500" customFormat="1" ht="12" customHeight="1">
      <c r="A44" s="672">
        <v>8</v>
      </c>
      <c r="B44" s="675"/>
      <c r="C44" s="693"/>
      <c r="D44" s="681" t="s">
        <v>628</v>
      </c>
      <c r="E44" s="517"/>
      <c r="F44" s="684"/>
      <c r="G44" s="685"/>
      <c r="H44" s="518" t="s">
        <v>629</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90">
        <f t="shared" ref="AN44" si="30">IF(LEFT($AN$1,6)="共同生活援助",SUM(I45:AM45),SUM(I45:AM46))</f>
        <v>0</v>
      </c>
      <c r="AO44" s="662">
        <f>IF($AN$3="４週",AN44/4,AN44/(DAY(EOMONTH($I$21,0))/7))</f>
        <v>0</v>
      </c>
      <c r="AP44" s="665"/>
      <c r="AQ44" s="666"/>
      <c r="AR44" s="662" t="str">
        <f t="shared" ref="AR44" si="31">IF($AN$3="４週",AU45,AV45)</f>
        <v/>
      </c>
      <c r="AS44" s="662"/>
      <c r="AT44" s="671" t="str">
        <f t="shared" ref="AT44" si="32">IF(AX45&lt;=1.1,"",IF(AY45&lt;=1.1,"",IF(F44="","","勤務時間"&amp;CHAR(10)&amp;"OVER")))</f>
        <v/>
      </c>
      <c r="AU44" s="520" t="s">
        <v>630</v>
      </c>
      <c r="AV44" s="520" t="s">
        <v>631</v>
      </c>
      <c r="AX44" s="520" t="s">
        <v>632</v>
      </c>
      <c r="AY44" s="520" t="s">
        <v>633</v>
      </c>
    </row>
    <row r="45" spans="1:51" s="500" customFormat="1" ht="12" customHeight="1">
      <c r="A45" s="673"/>
      <c r="B45" s="676"/>
      <c r="C45" s="694"/>
      <c r="D45" s="682"/>
      <c r="E45" s="521"/>
      <c r="F45" s="686"/>
      <c r="G45" s="687"/>
      <c r="H45" s="522" t="s">
        <v>634</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91"/>
      <c r="AO45" s="663"/>
      <c r="AP45" s="667"/>
      <c r="AQ45" s="668"/>
      <c r="AR45" s="663"/>
      <c r="AS45" s="663"/>
      <c r="AT45" s="671"/>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4"/>
      <c r="B46" s="677"/>
      <c r="C46" s="695"/>
      <c r="D46" s="683"/>
      <c r="E46" s="521"/>
      <c r="F46" s="688"/>
      <c r="G46" s="689"/>
      <c r="H46" s="525" t="s">
        <v>635</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92"/>
      <c r="AO46" s="664"/>
      <c r="AP46" s="669"/>
      <c r="AQ46" s="670"/>
      <c r="AR46" s="664"/>
      <c r="AS46" s="664"/>
      <c r="AT46" s="671"/>
      <c r="AU46" s="527"/>
      <c r="AV46" s="527"/>
      <c r="AX46" s="527"/>
      <c r="AY46" s="527"/>
    </row>
    <row r="47" spans="1:51" s="500" customFormat="1" ht="12" customHeight="1">
      <c r="A47" s="672">
        <v>9</v>
      </c>
      <c r="B47" s="675"/>
      <c r="C47" s="693"/>
      <c r="D47" s="681" t="s">
        <v>628</v>
      </c>
      <c r="E47" s="517"/>
      <c r="F47" s="684"/>
      <c r="G47" s="685"/>
      <c r="H47" s="518" t="s">
        <v>629</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90">
        <f t="shared" ref="AN47" si="35">IF(LEFT($AN$1,6)="共同生活援助",SUM(I48:AM48),SUM(I48:AM49))</f>
        <v>0</v>
      </c>
      <c r="AO47" s="662">
        <f>IF($AN$3="４週",AN47/4,AN47/(DAY(EOMONTH($I$21,0))/7))</f>
        <v>0</v>
      </c>
      <c r="AP47" s="665"/>
      <c r="AQ47" s="666"/>
      <c r="AR47" s="662" t="str">
        <f t="shared" ref="AR47" si="36">IF($AN$3="４週",AU48,AV48)</f>
        <v/>
      </c>
      <c r="AS47" s="662"/>
      <c r="AT47" s="671" t="str">
        <f t="shared" ref="AT47" si="37">IF(AX48&lt;=1.1,"",IF(AY48&lt;=1.1,"",IF(F47="","","勤務時間"&amp;CHAR(10)&amp;"OVER")))</f>
        <v/>
      </c>
      <c r="AU47" s="520" t="s">
        <v>630</v>
      </c>
      <c r="AV47" s="520" t="s">
        <v>631</v>
      </c>
      <c r="AX47" s="520" t="s">
        <v>632</v>
      </c>
      <c r="AY47" s="520" t="s">
        <v>633</v>
      </c>
    </row>
    <row r="48" spans="1:51" s="500" customFormat="1" ht="12" customHeight="1">
      <c r="A48" s="673"/>
      <c r="B48" s="676"/>
      <c r="C48" s="694"/>
      <c r="D48" s="682"/>
      <c r="E48" s="521"/>
      <c r="F48" s="686"/>
      <c r="G48" s="687"/>
      <c r="H48" s="522" t="s">
        <v>634</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91"/>
      <c r="AO48" s="663"/>
      <c r="AP48" s="667"/>
      <c r="AQ48" s="668"/>
      <c r="AR48" s="663"/>
      <c r="AS48" s="663"/>
      <c r="AT48" s="671"/>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4"/>
      <c r="B49" s="677"/>
      <c r="C49" s="695"/>
      <c r="D49" s="683"/>
      <c r="E49" s="521"/>
      <c r="F49" s="688"/>
      <c r="G49" s="689"/>
      <c r="H49" s="525" t="s">
        <v>635</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92"/>
      <c r="AO49" s="664"/>
      <c r="AP49" s="669"/>
      <c r="AQ49" s="670"/>
      <c r="AR49" s="664"/>
      <c r="AS49" s="664"/>
      <c r="AT49" s="671"/>
      <c r="AU49" s="527"/>
      <c r="AV49" s="527"/>
      <c r="AX49" s="527"/>
      <c r="AY49" s="527"/>
    </row>
    <row r="50" spans="1:51" s="500" customFormat="1" ht="12" customHeight="1">
      <c r="A50" s="672">
        <v>10</v>
      </c>
      <c r="B50" s="675"/>
      <c r="C50" s="693"/>
      <c r="D50" s="681" t="s">
        <v>628</v>
      </c>
      <c r="E50" s="517"/>
      <c r="F50" s="684"/>
      <c r="G50" s="685"/>
      <c r="H50" s="518" t="s">
        <v>629</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90">
        <f t="shared" ref="AN50" si="40">IF(LEFT($AN$1,6)="共同生活援助",SUM(I51:AM51),SUM(I51:AM52))</f>
        <v>0</v>
      </c>
      <c r="AO50" s="662">
        <f>IF($AN$3="４週",AN50/4,AN50/(DAY(EOMONTH($I$21,0))/7))</f>
        <v>0</v>
      </c>
      <c r="AP50" s="665"/>
      <c r="AQ50" s="666"/>
      <c r="AR50" s="662" t="str">
        <f t="shared" ref="AR50" si="41">IF($AN$3="４週",AU51,AV51)</f>
        <v/>
      </c>
      <c r="AS50" s="662"/>
      <c r="AT50" s="671" t="str">
        <f t="shared" ref="AT50" si="42">IF(AX51&lt;=1.1,"",IF(AY51&lt;=1.1,"",IF(F50="","","勤務時間"&amp;CHAR(10)&amp;"OVER")))</f>
        <v/>
      </c>
      <c r="AU50" s="520" t="s">
        <v>630</v>
      </c>
      <c r="AV50" s="520" t="s">
        <v>631</v>
      </c>
      <c r="AX50" s="520" t="s">
        <v>632</v>
      </c>
      <c r="AY50" s="520" t="s">
        <v>633</v>
      </c>
    </row>
    <row r="51" spans="1:51" s="500" customFormat="1" ht="12" customHeight="1">
      <c r="A51" s="673"/>
      <c r="B51" s="676"/>
      <c r="C51" s="694"/>
      <c r="D51" s="682"/>
      <c r="E51" s="521"/>
      <c r="F51" s="686"/>
      <c r="G51" s="687"/>
      <c r="H51" s="522" t="s">
        <v>634</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91"/>
      <c r="AO51" s="663"/>
      <c r="AP51" s="667"/>
      <c r="AQ51" s="668"/>
      <c r="AR51" s="663"/>
      <c r="AS51" s="663"/>
      <c r="AT51" s="671"/>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4"/>
      <c r="B52" s="677"/>
      <c r="C52" s="695"/>
      <c r="D52" s="683"/>
      <c r="E52" s="521"/>
      <c r="F52" s="688"/>
      <c r="G52" s="689"/>
      <c r="H52" s="525" t="s">
        <v>635</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92"/>
      <c r="AO52" s="664"/>
      <c r="AP52" s="669"/>
      <c r="AQ52" s="670"/>
      <c r="AR52" s="664"/>
      <c r="AS52" s="664"/>
      <c r="AT52" s="671"/>
      <c r="AU52" s="527"/>
      <c r="AV52" s="527"/>
      <c r="AX52" s="527"/>
      <c r="AY52" s="527"/>
    </row>
    <row r="53" spans="1:51" s="500" customFormat="1" ht="12" customHeight="1">
      <c r="A53" s="672">
        <v>11</v>
      </c>
      <c r="B53" s="675"/>
      <c r="C53" s="693"/>
      <c r="D53" s="681" t="s">
        <v>628</v>
      </c>
      <c r="E53" s="517"/>
      <c r="F53" s="684"/>
      <c r="G53" s="685"/>
      <c r="H53" s="518" t="s">
        <v>629</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90">
        <f t="shared" ref="AN53" si="45">IF(LEFT($AN$1,6)="共同生活援助",SUM(I54:AM54),SUM(I54:AM55))</f>
        <v>0</v>
      </c>
      <c r="AO53" s="662">
        <f>IF($AN$3="４週",AN53/4,AN53/(DAY(EOMONTH($I$21,0))/7))</f>
        <v>0</v>
      </c>
      <c r="AP53" s="665"/>
      <c r="AQ53" s="666"/>
      <c r="AR53" s="662" t="str">
        <f t="shared" ref="AR53" si="46">IF($AN$3="４週",AU54,AV54)</f>
        <v/>
      </c>
      <c r="AS53" s="662"/>
      <c r="AT53" s="671" t="str">
        <f t="shared" ref="AT53" si="47">IF(AX54&lt;=1.1,"",IF(AY54&lt;=1.1,"",IF(F53="","","勤務時間"&amp;CHAR(10)&amp;"OVER")))</f>
        <v/>
      </c>
      <c r="AU53" s="520" t="s">
        <v>630</v>
      </c>
      <c r="AV53" s="520" t="s">
        <v>631</v>
      </c>
      <c r="AX53" s="520" t="s">
        <v>632</v>
      </c>
      <c r="AY53" s="520" t="s">
        <v>633</v>
      </c>
    </row>
    <row r="54" spans="1:51" s="500" customFormat="1" ht="12" customHeight="1">
      <c r="A54" s="673"/>
      <c r="B54" s="676"/>
      <c r="C54" s="694"/>
      <c r="D54" s="682"/>
      <c r="E54" s="521"/>
      <c r="F54" s="686"/>
      <c r="G54" s="687"/>
      <c r="H54" s="522" t="s">
        <v>634</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91"/>
      <c r="AO54" s="663"/>
      <c r="AP54" s="667"/>
      <c r="AQ54" s="668"/>
      <c r="AR54" s="663"/>
      <c r="AS54" s="663"/>
      <c r="AT54" s="671"/>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4"/>
      <c r="B55" s="677"/>
      <c r="C55" s="695"/>
      <c r="D55" s="683"/>
      <c r="E55" s="521"/>
      <c r="F55" s="688"/>
      <c r="G55" s="689"/>
      <c r="H55" s="525" t="s">
        <v>635</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92"/>
      <c r="AO55" s="664"/>
      <c r="AP55" s="669"/>
      <c r="AQ55" s="670"/>
      <c r="AR55" s="664"/>
      <c r="AS55" s="664"/>
      <c r="AT55" s="671"/>
      <c r="AU55" s="527"/>
      <c r="AV55" s="527"/>
      <c r="AX55" s="527"/>
      <c r="AY55" s="527"/>
    </row>
    <row r="56" spans="1:51" s="500" customFormat="1" ht="12" customHeight="1">
      <c r="A56" s="672">
        <v>12</v>
      </c>
      <c r="B56" s="675"/>
      <c r="C56" s="693"/>
      <c r="D56" s="681" t="s">
        <v>628</v>
      </c>
      <c r="E56" s="517"/>
      <c r="F56" s="684"/>
      <c r="G56" s="685"/>
      <c r="H56" s="518" t="s">
        <v>629</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90">
        <f t="shared" ref="AN56" si="50">IF(LEFT($AN$1,6)="共同生活援助",SUM(I57:AM57),SUM(I57:AM58))</f>
        <v>0</v>
      </c>
      <c r="AO56" s="662">
        <f>IF($AN$3="４週",AN56/4,AN56/(DAY(EOMONTH($I$21,0))/7))</f>
        <v>0</v>
      </c>
      <c r="AP56" s="665"/>
      <c r="AQ56" s="666"/>
      <c r="AR56" s="662" t="str">
        <f t="shared" ref="AR56" si="51">IF($AN$3="４週",AU57,AV57)</f>
        <v/>
      </c>
      <c r="AS56" s="662"/>
      <c r="AT56" s="671" t="str">
        <f t="shared" ref="AT56" si="52">IF(AX57&lt;=1.1,"",IF(AY57&lt;=1.1,"",IF(F56="","","勤務時間"&amp;CHAR(10)&amp;"OVER")))</f>
        <v/>
      </c>
      <c r="AU56" s="520" t="s">
        <v>630</v>
      </c>
      <c r="AV56" s="520" t="s">
        <v>631</v>
      </c>
      <c r="AX56" s="520" t="s">
        <v>632</v>
      </c>
      <c r="AY56" s="520" t="s">
        <v>633</v>
      </c>
    </row>
    <row r="57" spans="1:51" s="500" customFormat="1" ht="12" customHeight="1">
      <c r="A57" s="673"/>
      <c r="B57" s="676"/>
      <c r="C57" s="694"/>
      <c r="D57" s="682"/>
      <c r="E57" s="521"/>
      <c r="F57" s="686"/>
      <c r="G57" s="687"/>
      <c r="H57" s="522" t="s">
        <v>634</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91"/>
      <c r="AO57" s="663"/>
      <c r="AP57" s="667"/>
      <c r="AQ57" s="668"/>
      <c r="AR57" s="663"/>
      <c r="AS57" s="663"/>
      <c r="AT57" s="671"/>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4"/>
      <c r="B58" s="677"/>
      <c r="C58" s="695"/>
      <c r="D58" s="683"/>
      <c r="E58" s="521"/>
      <c r="F58" s="688"/>
      <c r="G58" s="689"/>
      <c r="H58" s="525" t="s">
        <v>635</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92"/>
      <c r="AO58" s="664"/>
      <c r="AP58" s="669"/>
      <c r="AQ58" s="670"/>
      <c r="AR58" s="664"/>
      <c r="AS58" s="664"/>
      <c r="AT58" s="671"/>
      <c r="AU58" s="527"/>
      <c r="AV58" s="527"/>
      <c r="AX58" s="527"/>
      <c r="AY58" s="527"/>
    </row>
    <row r="59" spans="1:51" s="500" customFormat="1" ht="12" customHeight="1">
      <c r="A59" s="672">
        <v>13</v>
      </c>
      <c r="B59" s="675"/>
      <c r="C59" s="693"/>
      <c r="D59" s="681" t="s">
        <v>628</v>
      </c>
      <c r="E59" s="517"/>
      <c r="F59" s="684"/>
      <c r="G59" s="685"/>
      <c r="H59" s="518" t="s">
        <v>629</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90">
        <f t="shared" ref="AN59" si="55">IF(LEFT($AN$1,6)="共同生活援助",SUM(I60:AM60),SUM(I60:AM61))</f>
        <v>0</v>
      </c>
      <c r="AO59" s="662">
        <f>IF($AN$3="４週",AN59/4,AN59/(DAY(EOMONTH($I$21,0))/7))</f>
        <v>0</v>
      </c>
      <c r="AP59" s="665"/>
      <c r="AQ59" s="666"/>
      <c r="AR59" s="662" t="str">
        <f t="shared" ref="AR59" si="56">IF($AN$3="４週",AU60,AV60)</f>
        <v/>
      </c>
      <c r="AS59" s="662"/>
      <c r="AT59" s="671" t="str">
        <f t="shared" ref="AT59" si="57">IF(AX60&lt;=1.1,"",IF(AY60&lt;=1.1,"",IF(F59="","","勤務時間"&amp;CHAR(10)&amp;"OVER")))</f>
        <v/>
      </c>
      <c r="AU59" s="520" t="s">
        <v>630</v>
      </c>
      <c r="AV59" s="520" t="s">
        <v>631</v>
      </c>
      <c r="AX59" s="520" t="s">
        <v>632</v>
      </c>
      <c r="AY59" s="520" t="s">
        <v>633</v>
      </c>
    </row>
    <row r="60" spans="1:51" s="500" customFormat="1" ht="12" customHeight="1">
      <c r="A60" s="673"/>
      <c r="B60" s="676"/>
      <c r="C60" s="694"/>
      <c r="D60" s="682"/>
      <c r="E60" s="521"/>
      <c r="F60" s="686"/>
      <c r="G60" s="687"/>
      <c r="H60" s="522" t="s">
        <v>634</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91"/>
      <c r="AO60" s="663"/>
      <c r="AP60" s="667"/>
      <c r="AQ60" s="668"/>
      <c r="AR60" s="663"/>
      <c r="AS60" s="663"/>
      <c r="AT60" s="671"/>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4"/>
      <c r="B61" s="677"/>
      <c r="C61" s="695"/>
      <c r="D61" s="683"/>
      <c r="E61" s="521"/>
      <c r="F61" s="688"/>
      <c r="G61" s="689"/>
      <c r="H61" s="525" t="s">
        <v>635</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92"/>
      <c r="AO61" s="664"/>
      <c r="AP61" s="669"/>
      <c r="AQ61" s="670"/>
      <c r="AR61" s="664"/>
      <c r="AS61" s="664"/>
      <c r="AT61" s="671"/>
      <c r="AU61" s="527"/>
      <c r="AV61" s="527"/>
      <c r="AX61" s="527"/>
      <c r="AY61" s="527"/>
    </row>
    <row r="62" spans="1:51" s="500" customFormat="1" ht="12" customHeight="1">
      <c r="A62" s="672">
        <v>14</v>
      </c>
      <c r="B62" s="675"/>
      <c r="C62" s="693"/>
      <c r="D62" s="681" t="s">
        <v>628</v>
      </c>
      <c r="E62" s="517"/>
      <c r="F62" s="684"/>
      <c r="G62" s="685"/>
      <c r="H62" s="518" t="s">
        <v>629</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90">
        <f t="shared" ref="AN62" si="60">IF(LEFT($AN$1,6)="共同生活援助",SUM(I63:AM63),SUM(I63:AM64))</f>
        <v>0</v>
      </c>
      <c r="AO62" s="662">
        <f>IF($AN$3="４週",AN62/4,AN62/(DAY(EOMONTH($I$21,0))/7))</f>
        <v>0</v>
      </c>
      <c r="AP62" s="665"/>
      <c r="AQ62" s="666"/>
      <c r="AR62" s="662" t="str">
        <f t="shared" ref="AR62" si="61">IF($AN$3="４週",AU63,AV63)</f>
        <v/>
      </c>
      <c r="AS62" s="662"/>
      <c r="AT62" s="671" t="str">
        <f t="shared" ref="AT62" si="62">IF(AX63&lt;=1.1,"",IF(AY63&lt;=1.1,"",IF(F62="","","勤務時間"&amp;CHAR(10)&amp;"OVER")))</f>
        <v/>
      </c>
      <c r="AU62" s="520" t="s">
        <v>630</v>
      </c>
      <c r="AV62" s="520" t="s">
        <v>631</v>
      </c>
      <c r="AX62" s="520" t="s">
        <v>632</v>
      </c>
      <c r="AY62" s="520" t="s">
        <v>633</v>
      </c>
    </row>
    <row r="63" spans="1:51" s="500" customFormat="1" ht="12" customHeight="1">
      <c r="A63" s="673"/>
      <c r="B63" s="676"/>
      <c r="C63" s="694"/>
      <c r="D63" s="682"/>
      <c r="E63" s="521"/>
      <c r="F63" s="686"/>
      <c r="G63" s="687"/>
      <c r="H63" s="522" t="s">
        <v>634</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91"/>
      <c r="AO63" s="663"/>
      <c r="AP63" s="667"/>
      <c r="AQ63" s="668"/>
      <c r="AR63" s="663"/>
      <c r="AS63" s="663"/>
      <c r="AT63" s="671"/>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4"/>
      <c r="B64" s="677"/>
      <c r="C64" s="695"/>
      <c r="D64" s="683"/>
      <c r="E64" s="521"/>
      <c r="F64" s="688"/>
      <c r="G64" s="689"/>
      <c r="H64" s="525" t="s">
        <v>635</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92"/>
      <c r="AO64" s="664"/>
      <c r="AP64" s="669"/>
      <c r="AQ64" s="670"/>
      <c r="AR64" s="664"/>
      <c r="AS64" s="664"/>
      <c r="AT64" s="671"/>
      <c r="AU64" s="527"/>
      <c r="AV64" s="527"/>
      <c r="AX64" s="527"/>
      <c r="AY64" s="527"/>
    </row>
    <row r="65" spans="1:51" s="500" customFormat="1" ht="12" customHeight="1">
      <c r="A65" s="672">
        <v>15</v>
      </c>
      <c r="B65" s="675"/>
      <c r="C65" s="693"/>
      <c r="D65" s="681" t="s">
        <v>628</v>
      </c>
      <c r="E65" s="517"/>
      <c r="F65" s="684"/>
      <c r="G65" s="685"/>
      <c r="H65" s="518" t="s">
        <v>629</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90">
        <f t="shared" ref="AN65" si="65">IF(LEFT($AN$1,6)="共同生活援助",SUM(I66:AM66),SUM(I66:AM67))</f>
        <v>0</v>
      </c>
      <c r="AO65" s="662">
        <f>IF($AN$3="４週",AN65/4,AN65/(DAY(EOMONTH($I$21,0))/7))</f>
        <v>0</v>
      </c>
      <c r="AP65" s="665"/>
      <c r="AQ65" s="666"/>
      <c r="AR65" s="662" t="str">
        <f t="shared" ref="AR65" si="66">IF($AN$3="４週",AU66,AV66)</f>
        <v/>
      </c>
      <c r="AS65" s="662"/>
      <c r="AT65" s="671" t="str">
        <f t="shared" ref="AT65" si="67">IF(AX66&lt;=1.1,"",IF(AY66&lt;=1.1,"",IF(F65="","","勤務時間"&amp;CHAR(10)&amp;"OVER")))</f>
        <v/>
      </c>
      <c r="AU65" s="520" t="s">
        <v>630</v>
      </c>
      <c r="AV65" s="520" t="s">
        <v>631</v>
      </c>
      <c r="AX65" s="520" t="s">
        <v>632</v>
      </c>
      <c r="AY65" s="520" t="s">
        <v>633</v>
      </c>
    </row>
    <row r="66" spans="1:51" s="500" customFormat="1" ht="12" customHeight="1">
      <c r="A66" s="673"/>
      <c r="B66" s="676"/>
      <c r="C66" s="694"/>
      <c r="D66" s="682"/>
      <c r="E66" s="521"/>
      <c r="F66" s="686"/>
      <c r="G66" s="687"/>
      <c r="H66" s="522" t="s">
        <v>634</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91"/>
      <c r="AO66" s="663"/>
      <c r="AP66" s="667"/>
      <c r="AQ66" s="668"/>
      <c r="AR66" s="663"/>
      <c r="AS66" s="663"/>
      <c r="AT66" s="671"/>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4"/>
      <c r="B67" s="677"/>
      <c r="C67" s="695"/>
      <c r="D67" s="683"/>
      <c r="E67" s="521"/>
      <c r="F67" s="688"/>
      <c r="G67" s="689"/>
      <c r="H67" s="525" t="s">
        <v>635</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92"/>
      <c r="AO67" s="664"/>
      <c r="AP67" s="669"/>
      <c r="AQ67" s="670"/>
      <c r="AR67" s="664"/>
      <c r="AS67" s="664"/>
      <c r="AT67" s="671"/>
      <c r="AU67" s="527"/>
      <c r="AV67" s="527"/>
      <c r="AX67" s="527"/>
      <c r="AY67" s="527"/>
    </row>
    <row r="68" spans="1:51" s="500" customFormat="1" ht="12" customHeight="1">
      <c r="A68" s="672">
        <v>16</v>
      </c>
      <c r="B68" s="675"/>
      <c r="C68" s="693"/>
      <c r="D68" s="681" t="s">
        <v>628</v>
      </c>
      <c r="E68" s="517"/>
      <c r="F68" s="684"/>
      <c r="G68" s="685"/>
      <c r="H68" s="518" t="s">
        <v>629</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90">
        <f t="shared" ref="AN68" si="70">IF(LEFT($AN$1,6)="共同生活援助",SUM(I69:AM69),SUM(I69:AM70))</f>
        <v>0</v>
      </c>
      <c r="AO68" s="662">
        <f>IF($AN$3="４週",AN68/4,AN68/(DAY(EOMONTH($I$21,0))/7))</f>
        <v>0</v>
      </c>
      <c r="AP68" s="665"/>
      <c r="AQ68" s="666"/>
      <c r="AR68" s="662" t="str">
        <f t="shared" ref="AR68" si="71">IF($AN$3="４週",AU69,AV69)</f>
        <v/>
      </c>
      <c r="AS68" s="662"/>
      <c r="AT68" s="671" t="str">
        <f t="shared" ref="AT68" si="72">IF(AX69&lt;=1.1,"",IF(AY69&lt;=1.1,"",IF(F68="","","勤務時間"&amp;CHAR(10)&amp;"OVER")))</f>
        <v/>
      </c>
      <c r="AU68" s="520" t="s">
        <v>630</v>
      </c>
      <c r="AV68" s="520" t="s">
        <v>631</v>
      </c>
      <c r="AX68" s="520" t="s">
        <v>632</v>
      </c>
      <c r="AY68" s="520" t="s">
        <v>633</v>
      </c>
    </row>
    <row r="69" spans="1:51" s="500" customFormat="1" ht="12" customHeight="1">
      <c r="A69" s="673"/>
      <c r="B69" s="676"/>
      <c r="C69" s="694"/>
      <c r="D69" s="682"/>
      <c r="E69" s="521"/>
      <c r="F69" s="686"/>
      <c r="G69" s="687"/>
      <c r="H69" s="522" t="s">
        <v>634</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91"/>
      <c r="AO69" s="663"/>
      <c r="AP69" s="667"/>
      <c r="AQ69" s="668"/>
      <c r="AR69" s="663"/>
      <c r="AS69" s="663"/>
      <c r="AT69" s="671"/>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4"/>
      <c r="B70" s="677"/>
      <c r="C70" s="695"/>
      <c r="D70" s="683"/>
      <c r="E70" s="521"/>
      <c r="F70" s="688"/>
      <c r="G70" s="689"/>
      <c r="H70" s="525" t="s">
        <v>635</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92"/>
      <c r="AO70" s="664"/>
      <c r="AP70" s="669"/>
      <c r="AQ70" s="670"/>
      <c r="AR70" s="664"/>
      <c r="AS70" s="664"/>
      <c r="AT70" s="671"/>
      <c r="AU70" s="527"/>
      <c r="AV70" s="527"/>
      <c r="AX70" s="527"/>
      <c r="AY70" s="527"/>
    </row>
    <row r="71" spans="1:51" s="500" customFormat="1" ht="12" customHeight="1">
      <c r="A71" s="672">
        <v>17</v>
      </c>
      <c r="B71" s="675"/>
      <c r="C71" s="678"/>
      <c r="D71" s="681" t="s">
        <v>628</v>
      </c>
      <c r="E71" s="517"/>
      <c r="F71" s="684"/>
      <c r="G71" s="685"/>
      <c r="H71" s="518" t="s">
        <v>629</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90">
        <f t="shared" ref="AN71" si="75">IF(LEFT($AN$1,6)="共同生活援助",SUM(I72:AM72),SUM(I72:AM73))</f>
        <v>0</v>
      </c>
      <c r="AO71" s="662">
        <f>IF($AN$3="４週",AN71/4,AN71/(DAY(EOMONTH($I$21,0))/7))</f>
        <v>0</v>
      </c>
      <c r="AP71" s="665"/>
      <c r="AQ71" s="666"/>
      <c r="AR71" s="662" t="str">
        <f t="shared" ref="AR71" si="76">IF($AN$3="４週",AU72,AV72)</f>
        <v/>
      </c>
      <c r="AS71" s="662"/>
      <c r="AT71" s="671" t="str">
        <f t="shared" ref="AT71" si="77">IF(AX72&lt;=1.1,"",IF(AY72&lt;=1.1,"",IF(F71="","","勤務時間"&amp;CHAR(10)&amp;"OVER")))</f>
        <v/>
      </c>
      <c r="AU71" s="520" t="s">
        <v>630</v>
      </c>
      <c r="AV71" s="520" t="s">
        <v>631</v>
      </c>
      <c r="AX71" s="520" t="s">
        <v>632</v>
      </c>
      <c r="AY71" s="520" t="s">
        <v>633</v>
      </c>
    </row>
    <row r="72" spans="1:51" s="500" customFormat="1" ht="12" customHeight="1">
      <c r="A72" s="673"/>
      <c r="B72" s="676"/>
      <c r="C72" s="679"/>
      <c r="D72" s="682"/>
      <c r="E72" s="521"/>
      <c r="F72" s="686"/>
      <c r="G72" s="687"/>
      <c r="H72" s="522" t="s">
        <v>634</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91"/>
      <c r="AO72" s="663"/>
      <c r="AP72" s="667"/>
      <c r="AQ72" s="668"/>
      <c r="AR72" s="663"/>
      <c r="AS72" s="663"/>
      <c r="AT72" s="671"/>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4"/>
      <c r="B73" s="677"/>
      <c r="C73" s="680"/>
      <c r="D73" s="683"/>
      <c r="E73" s="521"/>
      <c r="F73" s="688"/>
      <c r="G73" s="689"/>
      <c r="H73" s="525" t="s">
        <v>635</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92"/>
      <c r="AO73" s="664"/>
      <c r="AP73" s="669"/>
      <c r="AQ73" s="670"/>
      <c r="AR73" s="664"/>
      <c r="AS73" s="664"/>
      <c r="AT73" s="671"/>
      <c r="AU73" s="527"/>
      <c r="AV73" s="527"/>
      <c r="AX73" s="527"/>
      <c r="AY73" s="527"/>
    </row>
    <row r="74" spans="1:51" s="500" customFormat="1" ht="12" customHeight="1">
      <c r="A74" s="672">
        <v>18</v>
      </c>
      <c r="B74" s="675"/>
      <c r="C74" s="693"/>
      <c r="D74" s="681" t="s">
        <v>628</v>
      </c>
      <c r="E74" s="517"/>
      <c r="F74" s="684"/>
      <c r="G74" s="685"/>
      <c r="H74" s="518" t="s">
        <v>629</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90">
        <f t="shared" ref="AN74" si="80">IF(LEFT($AN$1,6)="共同生活援助",SUM(I75:AM75),SUM(I75:AM76))</f>
        <v>0</v>
      </c>
      <c r="AO74" s="662">
        <f>IF($AN$3="４週",AN74/4,AN74/(DAY(EOMONTH($I$21,0))/7))</f>
        <v>0</v>
      </c>
      <c r="AP74" s="665"/>
      <c r="AQ74" s="666"/>
      <c r="AR74" s="662" t="str">
        <f t="shared" ref="AR74" si="81">IF($AN$3="４週",AU75,AV75)</f>
        <v/>
      </c>
      <c r="AS74" s="662"/>
      <c r="AT74" s="671" t="str">
        <f t="shared" ref="AT74" si="82">IF(AX75&lt;=1.1,"",IF(AY75&lt;=1.1,"",IF(F74="","","勤務時間"&amp;CHAR(10)&amp;"OVER")))</f>
        <v/>
      </c>
      <c r="AU74" s="520" t="s">
        <v>630</v>
      </c>
      <c r="AV74" s="520" t="s">
        <v>631</v>
      </c>
      <c r="AX74" s="520" t="s">
        <v>632</v>
      </c>
      <c r="AY74" s="520" t="s">
        <v>633</v>
      </c>
    </row>
    <row r="75" spans="1:51" s="500" customFormat="1" ht="12" customHeight="1">
      <c r="A75" s="673"/>
      <c r="B75" s="676"/>
      <c r="C75" s="694"/>
      <c r="D75" s="682"/>
      <c r="E75" s="521"/>
      <c r="F75" s="686"/>
      <c r="G75" s="687"/>
      <c r="H75" s="522" t="s">
        <v>634</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91"/>
      <c r="AO75" s="663"/>
      <c r="AP75" s="667"/>
      <c r="AQ75" s="668"/>
      <c r="AR75" s="663"/>
      <c r="AS75" s="663"/>
      <c r="AT75" s="671"/>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4"/>
      <c r="B76" s="677"/>
      <c r="C76" s="695"/>
      <c r="D76" s="683"/>
      <c r="E76" s="521"/>
      <c r="F76" s="688"/>
      <c r="G76" s="689"/>
      <c r="H76" s="525" t="s">
        <v>635</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92"/>
      <c r="AO76" s="664"/>
      <c r="AP76" s="669"/>
      <c r="AQ76" s="670"/>
      <c r="AR76" s="664"/>
      <c r="AS76" s="664"/>
      <c r="AT76" s="671"/>
      <c r="AU76" s="527"/>
      <c r="AV76" s="527"/>
      <c r="AX76" s="527"/>
      <c r="AY76" s="527"/>
    </row>
    <row r="77" spans="1:51" s="500" customFormat="1" ht="12" customHeight="1">
      <c r="A77" s="672">
        <v>19</v>
      </c>
      <c r="B77" s="675"/>
      <c r="C77" s="693"/>
      <c r="D77" s="681" t="s">
        <v>628</v>
      </c>
      <c r="E77" s="517"/>
      <c r="F77" s="684"/>
      <c r="G77" s="685"/>
      <c r="H77" s="518" t="s">
        <v>629</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90">
        <f t="shared" ref="AN77" si="85">IF(LEFT($AN$1,6)="共同生活援助",SUM(I78:AM78),SUM(I78:AM79))</f>
        <v>0</v>
      </c>
      <c r="AO77" s="662">
        <f>IF($AN$3="４週",AN77/4,AN77/(DAY(EOMONTH($I$21,0))/7))</f>
        <v>0</v>
      </c>
      <c r="AP77" s="665"/>
      <c r="AQ77" s="666"/>
      <c r="AR77" s="662" t="str">
        <f t="shared" ref="AR77" si="86">IF($AN$3="４週",AU78,AV78)</f>
        <v/>
      </c>
      <c r="AS77" s="662"/>
      <c r="AT77" s="671" t="str">
        <f t="shared" ref="AT77" si="87">IF(AX78&lt;=1.1,"",IF(AY78&lt;=1.1,"",IF(F77="","","勤務時間"&amp;CHAR(10)&amp;"OVER")))</f>
        <v/>
      </c>
      <c r="AU77" s="520" t="s">
        <v>630</v>
      </c>
      <c r="AV77" s="520" t="s">
        <v>631</v>
      </c>
      <c r="AX77" s="520" t="s">
        <v>632</v>
      </c>
      <c r="AY77" s="520" t="s">
        <v>633</v>
      </c>
    </row>
    <row r="78" spans="1:51" s="500" customFormat="1" ht="12" customHeight="1">
      <c r="A78" s="673"/>
      <c r="B78" s="676"/>
      <c r="C78" s="694"/>
      <c r="D78" s="682"/>
      <c r="E78" s="521"/>
      <c r="F78" s="686"/>
      <c r="G78" s="687"/>
      <c r="H78" s="522" t="s">
        <v>634</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91"/>
      <c r="AO78" s="663"/>
      <c r="AP78" s="667"/>
      <c r="AQ78" s="668"/>
      <c r="AR78" s="663"/>
      <c r="AS78" s="663"/>
      <c r="AT78" s="671"/>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4"/>
      <c r="B79" s="677"/>
      <c r="C79" s="695"/>
      <c r="D79" s="683"/>
      <c r="E79" s="521"/>
      <c r="F79" s="688"/>
      <c r="G79" s="689"/>
      <c r="H79" s="525" t="s">
        <v>635</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92"/>
      <c r="AO79" s="664"/>
      <c r="AP79" s="669"/>
      <c r="AQ79" s="670"/>
      <c r="AR79" s="664"/>
      <c r="AS79" s="664"/>
      <c r="AT79" s="671"/>
      <c r="AU79" s="527"/>
      <c r="AV79" s="527"/>
      <c r="AX79" s="527"/>
      <c r="AY79" s="527"/>
    </row>
    <row r="80" spans="1:51" s="500" customFormat="1" ht="12" customHeight="1">
      <c r="A80" s="672">
        <v>20</v>
      </c>
      <c r="B80" s="675"/>
      <c r="C80" s="693"/>
      <c r="D80" s="681" t="s">
        <v>628</v>
      </c>
      <c r="E80" s="517"/>
      <c r="F80" s="684"/>
      <c r="G80" s="685"/>
      <c r="H80" s="518" t="s">
        <v>629</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90">
        <f t="shared" ref="AN80" si="90">IF(LEFT($AN$1,6)="共同生活援助",SUM(I81:AM81),SUM(I81:AM82))</f>
        <v>0</v>
      </c>
      <c r="AO80" s="662">
        <f>IF($AN$3="４週",AN80/4,AN80/(DAY(EOMONTH($I$21,0))/7))</f>
        <v>0</v>
      </c>
      <c r="AP80" s="665"/>
      <c r="AQ80" s="666"/>
      <c r="AR80" s="662" t="str">
        <f t="shared" ref="AR80" si="91">IF($AN$3="４週",AU81,AV81)</f>
        <v/>
      </c>
      <c r="AS80" s="662"/>
      <c r="AT80" s="671" t="str">
        <f t="shared" ref="AT80" si="92">IF(AX81&lt;=1.1,"",IF(AY81&lt;=1.1,"",IF(F80="","","勤務時間"&amp;CHAR(10)&amp;"OVER")))</f>
        <v/>
      </c>
      <c r="AU80" s="520" t="s">
        <v>630</v>
      </c>
      <c r="AV80" s="520" t="s">
        <v>631</v>
      </c>
      <c r="AX80" s="520" t="s">
        <v>632</v>
      </c>
      <c r="AY80" s="520" t="s">
        <v>633</v>
      </c>
    </row>
    <row r="81" spans="1:51" s="500" customFormat="1" ht="12" customHeight="1">
      <c r="A81" s="673"/>
      <c r="B81" s="676"/>
      <c r="C81" s="694"/>
      <c r="D81" s="682"/>
      <c r="E81" s="521"/>
      <c r="F81" s="686"/>
      <c r="G81" s="687"/>
      <c r="H81" s="522" t="s">
        <v>634</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91"/>
      <c r="AO81" s="663"/>
      <c r="AP81" s="667"/>
      <c r="AQ81" s="668"/>
      <c r="AR81" s="663"/>
      <c r="AS81" s="663"/>
      <c r="AT81" s="671"/>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4"/>
      <c r="B82" s="677"/>
      <c r="C82" s="695"/>
      <c r="D82" s="683"/>
      <c r="E82" s="521"/>
      <c r="F82" s="688"/>
      <c r="G82" s="689"/>
      <c r="H82" s="525" t="s">
        <v>635</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92"/>
      <c r="AO82" s="664"/>
      <c r="AP82" s="669"/>
      <c r="AQ82" s="670"/>
      <c r="AR82" s="664"/>
      <c r="AS82" s="664"/>
      <c r="AT82" s="671"/>
      <c r="AU82" s="527"/>
      <c r="AV82" s="527"/>
      <c r="AX82" s="527"/>
      <c r="AY82" s="527"/>
    </row>
    <row r="83" spans="1:51" s="500" customFormat="1" ht="12" customHeight="1">
      <c r="A83" s="672">
        <v>21</v>
      </c>
      <c r="B83" s="675"/>
      <c r="C83" s="693"/>
      <c r="D83" s="681" t="s">
        <v>628</v>
      </c>
      <c r="E83" s="517"/>
      <c r="F83" s="684"/>
      <c r="G83" s="685"/>
      <c r="H83" s="518" t="s">
        <v>629</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90">
        <f t="shared" ref="AN83" si="95">IF(LEFT($AN$1,6)="共同生活援助",SUM(I84:AM84),SUM(I84:AM85))</f>
        <v>0</v>
      </c>
      <c r="AO83" s="662">
        <f>IF($AN$3="４週",AN83/4,AN83/(DAY(EOMONTH($I$21,0))/7))</f>
        <v>0</v>
      </c>
      <c r="AP83" s="665"/>
      <c r="AQ83" s="666"/>
      <c r="AR83" s="662" t="str">
        <f t="shared" ref="AR83" si="96">IF($AN$3="４週",AU84,AV84)</f>
        <v/>
      </c>
      <c r="AS83" s="662"/>
      <c r="AT83" s="671" t="str">
        <f t="shared" ref="AT83" si="97">IF(AX84&lt;=1.1,"",IF(AY84&lt;=1.1,"",IF(F83="","","勤務時間"&amp;CHAR(10)&amp;"OVER")))</f>
        <v/>
      </c>
      <c r="AU83" s="520" t="s">
        <v>630</v>
      </c>
      <c r="AV83" s="520" t="s">
        <v>631</v>
      </c>
      <c r="AX83" s="520" t="s">
        <v>632</v>
      </c>
      <c r="AY83" s="520" t="s">
        <v>633</v>
      </c>
    </row>
    <row r="84" spans="1:51" s="500" customFormat="1" ht="12" customHeight="1">
      <c r="A84" s="673"/>
      <c r="B84" s="676"/>
      <c r="C84" s="694"/>
      <c r="D84" s="682"/>
      <c r="E84" s="521"/>
      <c r="F84" s="686"/>
      <c r="G84" s="687"/>
      <c r="H84" s="522" t="s">
        <v>634</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91"/>
      <c r="AO84" s="663"/>
      <c r="AP84" s="667"/>
      <c r="AQ84" s="668"/>
      <c r="AR84" s="663"/>
      <c r="AS84" s="663"/>
      <c r="AT84" s="671"/>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4"/>
      <c r="B85" s="677"/>
      <c r="C85" s="695"/>
      <c r="D85" s="683"/>
      <c r="E85" s="521"/>
      <c r="F85" s="688"/>
      <c r="G85" s="689"/>
      <c r="H85" s="525" t="s">
        <v>635</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92"/>
      <c r="AO85" s="664"/>
      <c r="AP85" s="669"/>
      <c r="AQ85" s="670"/>
      <c r="AR85" s="664"/>
      <c r="AS85" s="664"/>
      <c r="AT85" s="671"/>
      <c r="AU85" s="527"/>
      <c r="AV85" s="527"/>
      <c r="AX85" s="527"/>
      <c r="AY85" s="527"/>
    </row>
    <row r="86" spans="1:51" s="500" customFormat="1" ht="12" customHeight="1">
      <c r="A86" s="672">
        <v>22</v>
      </c>
      <c r="B86" s="675"/>
      <c r="C86" s="693"/>
      <c r="D86" s="681" t="s">
        <v>628</v>
      </c>
      <c r="E86" s="517"/>
      <c r="F86" s="684"/>
      <c r="G86" s="685"/>
      <c r="H86" s="518" t="s">
        <v>629</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90">
        <f t="shared" ref="AN86" si="98">IF(LEFT($AN$1,6)="共同生活援助",SUM(I87:AM87),SUM(I87:AM88))</f>
        <v>0</v>
      </c>
      <c r="AO86" s="662">
        <f>IF($AN$3="４週",AN86/4,AN86/(DAY(EOMONTH($I$21,0))/7))</f>
        <v>0</v>
      </c>
      <c r="AP86" s="665"/>
      <c r="AQ86" s="666"/>
      <c r="AR86" s="662" t="str">
        <f t="shared" ref="AR86" si="99">IF($AN$3="４週",AU87,AV87)</f>
        <v/>
      </c>
      <c r="AS86" s="662"/>
      <c r="AT86" s="671" t="str">
        <f t="shared" ref="AT86" si="100">IF(AX87&lt;=1.1,"",IF(AY87&lt;=1.1,"",IF(F86="","","勤務時間"&amp;CHAR(10)&amp;"OVER")))</f>
        <v/>
      </c>
      <c r="AU86" s="520" t="s">
        <v>630</v>
      </c>
      <c r="AV86" s="520" t="s">
        <v>631</v>
      </c>
      <c r="AX86" s="520" t="s">
        <v>632</v>
      </c>
      <c r="AY86" s="520" t="s">
        <v>633</v>
      </c>
    </row>
    <row r="87" spans="1:51" s="500" customFormat="1" ht="12" customHeight="1">
      <c r="A87" s="673"/>
      <c r="B87" s="676"/>
      <c r="C87" s="694"/>
      <c r="D87" s="682"/>
      <c r="E87" s="521"/>
      <c r="F87" s="686"/>
      <c r="G87" s="687"/>
      <c r="H87" s="522" t="s">
        <v>634</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91"/>
      <c r="AO87" s="663"/>
      <c r="AP87" s="667"/>
      <c r="AQ87" s="668"/>
      <c r="AR87" s="663"/>
      <c r="AS87" s="663"/>
      <c r="AT87" s="671"/>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4"/>
      <c r="B88" s="677"/>
      <c r="C88" s="695"/>
      <c r="D88" s="683"/>
      <c r="E88" s="521"/>
      <c r="F88" s="688"/>
      <c r="G88" s="689"/>
      <c r="H88" s="525" t="s">
        <v>635</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92"/>
      <c r="AO88" s="664"/>
      <c r="AP88" s="669"/>
      <c r="AQ88" s="670"/>
      <c r="AR88" s="664"/>
      <c r="AS88" s="664"/>
      <c r="AT88" s="671"/>
      <c r="AU88" s="527"/>
      <c r="AV88" s="527"/>
      <c r="AX88" s="527"/>
      <c r="AY88" s="527"/>
    </row>
    <row r="89" spans="1:51" s="500" customFormat="1" ht="12" customHeight="1">
      <c r="A89" s="672">
        <v>23</v>
      </c>
      <c r="B89" s="675"/>
      <c r="C89" s="693"/>
      <c r="D89" s="681" t="s">
        <v>628</v>
      </c>
      <c r="E89" s="517"/>
      <c r="F89" s="684"/>
      <c r="G89" s="685"/>
      <c r="H89" s="518" t="s">
        <v>629</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90">
        <f t="shared" ref="AN89" si="103">IF(LEFT($AN$1,6)="共同生活援助",SUM(I90:AM90),SUM(I90:AM91))</f>
        <v>0</v>
      </c>
      <c r="AO89" s="662">
        <f>IF($AN$3="４週",AN89/4,AN89/(DAY(EOMONTH($I$21,0))/7))</f>
        <v>0</v>
      </c>
      <c r="AP89" s="665"/>
      <c r="AQ89" s="666"/>
      <c r="AR89" s="662" t="str">
        <f t="shared" ref="AR89" si="104">IF($AN$3="４週",AU90,AV90)</f>
        <v/>
      </c>
      <c r="AS89" s="662"/>
      <c r="AT89" s="671" t="str">
        <f t="shared" ref="AT89" si="105">IF(AX90&lt;=1.1,"",IF(AY90&lt;=1.1,"",IF(F89="","","勤務時間"&amp;CHAR(10)&amp;"OVER")))</f>
        <v/>
      </c>
      <c r="AU89" s="520" t="s">
        <v>630</v>
      </c>
      <c r="AV89" s="520" t="s">
        <v>631</v>
      </c>
      <c r="AX89" s="520" t="s">
        <v>632</v>
      </c>
      <c r="AY89" s="520" t="s">
        <v>633</v>
      </c>
    </row>
    <row r="90" spans="1:51" s="500" customFormat="1" ht="12" customHeight="1">
      <c r="A90" s="673"/>
      <c r="B90" s="676"/>
      <c r="C90" s="694"/>
      <c r="D90" s="682"/>
      <c r="E90" s="521"/>
      <c r="F90" s="686"/>
      <c r="G90" s="687"/>
      <c r="H90" s="522" t="s">
        <v>634</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91"/>
      <c r="AO90" s="663"/>
      <c r="AP90" s="667"/>
      <c r="AQ90" s="668"/>
      <c r="AR90" s="663"/>
      <c r="AS90" s="663"/>
      <c r="AT90" s="671"/>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4"/>
      <c r="B91" s="677"/>
      <c r="C91" s="695"/>
      <c r="D91" s="683"/>
      <c r="E91" s="521"/>
      <c r="F91" s="688"/>
      <c r="G91" s="689"/>
      <c r="H91" s="525" t="s">
        <v>635</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92"/>
      <c r="AO91" s="664"/>
      <c r="AP91" s="669"/>
      <c r="AQ91" s="670"/>
      <c r="AR91" s="664"/>
      <c r="AS91" s="664"/>
      <c r="AT91" s="671"/>
      <c r="AU91" s="527"/>
      <c r="AV91" s="527"/>
      <c r="AX91" s="527"/>
      <c r="AY91" s="527"/>
    </row>
    <row r="92" spans="1:51" s="500" customFormat="1" ht="12" customHeight="1">
      <c r="A92" s="672">
        <v>24</v>
      </c>
      <c r="B92" s="675"/>
      <c r="C92" s="693"/>
      <c r="D92" s="681" t="s">
        <v>628</v>
      </c>
      <c r="E92" s="517"/>
      <c r="F92" s="684"/>
      <c r="G92" s="685"/>
      <c r="H92" s="518" t="s">
        <v>629</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90">
        <f t="shared" ref="AN92" si="108">IF(LEFT($AN$1,6)="共同生活援助",SUM(I93:AM93),SUM(I93:AM94))</f>
        <v>0</v>
      </c>
      <c r="AO92" s="662">
        <f>IF($AN$3="４週",AN92/4,AN92/(DAY(EOMONTH($I$21,0))/7))</f>
        <v>0</v>
      </c>
      <c r="AP92" s="665"/>
      <c r="AQ92" s="666"/>
      <c r="AR92" s="662" t="str">
        <f t="shared" ref="AR92" si="109">IF($AN$3="４週",AU93,AV93)</f>
        <v/>
      </c>
      <c r="AS92" s="662"/>
      <c r="AT92" s="671" t="str">
        <f t="shared" ref="AT92" si="110">IF(AX93&lt;=1.1,"",IF(AY93&lt;=1.1,"",IF(F92="","","勤務時間"&amp;CHAR(10)&amp;"OVER")))</f>
        <v/>
      </c>
      <c r="AU92" s="520" t="s">
        <v>630</v>
      </c>
      <c r="AV92" s="520" t="s">
        <v>631</v>
      </c>
      <c r="AX92" s="520" t="s">
        <v>632</v>
      </c>
      <c r="AY92" s="520" t="s">
        <v>633</v>
      </c>
    </row>
    <row r="93" spans="1:51" s="500" customFormat="1" ht="12" customHeight="1">
      <c r="A93" s="673"/>
      <c r="B93" s="676"/>
      <c r="C93" s="694"/>
      <c r="D93" s="682"/>
      <c r="E93" s="521"/>
      <c r="F93" s="686"/>
      <c r="G93" s="687"/>
      <c r="H93" s="522" t="s">
        <v>634</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91"/>
      <c r="AO93" s="663"/>
      <c r="AP93" s="667"/>
      <c r="AQ93" s="668"/>
      <c r="AR93" s="663"/>
      <c r="AS93" s="663"/>
      <c r="AT93" s="671"/>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4"/>
      <c r="B94" s="677"/>
      <c r="C94" s="695"/>
      <c r="D94" s="683"/>
      <c r="E94" s="521"/>
      <c r="F94" s="688"/>
      <c r="G94" s="689"/>
      <c r="H94" s="525" t="s">
        <v>635</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92"/>
      <c r="AO94" s="664"/>
      <c r="AP94" s="669"/>
      <c r="AQ94" s="670"/>
      <c r="AR94" s="664"/>
      <c r="AS94" s="664"/>
      <c r="AT94" s="671"/>
      <c r="AU94" s="527"/>
      <c r="AV94" s="527"/>
      <c r="AX94" s="527"/>
      <c r="AY94" s="527"/>
    </row>
    <row r="95" spans="1:51" s="500" customFormat="1" ht="12" customHeight="1">
      <c r="A95" s="672">
        <v>25</v>
      </c>
      <c r="B95" s="675"/>
      <c r="C95" s="693"/>
      <c r="D95" s="681" t="s">
        <v>628</v>
      </c>
      <c r="E95" s="517"/>
      <c r="F95" s="684"/>
      <c r="G95" s="685"/>
      <c r="H95" s="518" t="s">
        <v>629</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90">
        <f t="shared" ref="AN95" si="113">IF(LEFT($AN$1,6)="共同生活援助",SUM(I96:AM96),SUM(I96:AM97))</f>
        <v>0</v>
      </c>
      <c r="AO95" s="662">
        <f>IF($AN$3="４週",AN95/4,AN95/(DAY(EOMONTH($I$21,0))/7))</f>
        <v>0</v>
      </c>
      <c r="AP95" s="665"/>
      <c r="AQ95" s="666"/>
      <c r="AR95" s="662" t="str">
        <f t="shared" ref="AR95" si="114">IF($AN$3="４週",AU96,AV96)</f>
        <v/>
      </c>
      <c r="AS95" s="662"/>
      <c r="AT95" s="671" t="str">
        <f t="shared" ref="AT95" si="115">IF(AX96&lt;=1.1,"",IF(AY96&lt;=1.1,"",IF(F95="","","勤務時間"&amp;CHAR(10)&amp;"OVER")))</f>
        <v/>
      </c>
      <c r="AU95" s="520" t="s">
        <v>630</v>
      </c>
      <c r="AV95" s="520" t="s">
        <v>631</v>
      </c>
      <c r="AX95" s="520" t="s">
        <v>632</v>
      </c>
      <c r="AY95" s="520" t="s">
        <v>633</v>
      </c>
    </row>
    <row r="96" spans="1:51" s="500" customFormat="1" ht="12" customHeight="1">
      <c r="A96" s="673"/>
      <c r="B96" s="676"/>
      <c r="C96" s="694"/>
      <c r="D96" s="682"/>
      <c r="E96" s="521"/>
      <c r="F96" s="686"/>
      <c r="G96" s="687"/>
      <c r="H96" s="522" t="s">
        <v>634</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91"/>
      <c r="AO96" s="663"/>
      <c r="AP96" s="667"/>
      <c r="AQ96" s="668"/>
      <c r="AR96" s="663"/>
      <c r="AS96" s="663"/>
      <c r="AT96" s="671"/>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4"/>
      <c r="B97" s="677"/>
      <c r="C97" s="695"/>
      <c r="D97" s="683"/>
      <c r="E97" s="521"/>
      <c r="F97" s="688"/>
      <c r="G97" s="689"/>
      <c r="H97" s="525" t="s">
        <v>635</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92"/>
      <c r="AO97" s="664"/>
      <c r="AP97" s="669"/>
      <c r="AQ97" s="670"/>
      <c r="AR97" s="664"/>
      <c r="AS97" s="664"/>
      <c r="AT97" s="671"/>
      <c r="AU97" s="527"/>
      <c r="AV97" s="527"/>
      <c r="AX97" s="527"/>
      <c r="AY97" s="527"/>
    </row>
    <row r="98" spans="1:51" s="500" customFormat="1" ht="12" customHeight="1">
      <c r="A98" s="672">
        <v>26</v>
      </c>
      <c r="B98" s="675"/>
      <c r="C98" s="693"/>
      <c r="D98" s="681" t="s">
        <v>628</v>
      </c>
      <c r="E98" s="517"/>
      <c r="F98" s="684"/>
      <c r="G98" s="685"/>
      <c r="H98" s="518" t="s">
        <v>629</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90">
        <f t="shared" ref="AN98" si="118">IF(LEFT($AN$1,6)="共同生活援助",SUM(I99:AM99),SUM(I99:AM100))</f>
        <v>0</v>
      </c>
      <c r="AO98" s="662">
        <f>IF($AN$3="４週",AN98/4,AN98/(DAY(EOMONTH($I$21,0))/7))</f>
        <v>0</v>
      </c>
      <c r="AP98" s="665"/>
      <c r="AQ98" s="666"/>
      <c r="AR98" s="662" t="str">
        <f t="shared" ref="AR98" si="119">IF($AN$3="４週",AU99,AV99)</f>
        <v/>
      </c>
      <c r="AS98" s="662"/>
      <c r="AT98" s="671" t="str">
        <f t="shared" ref="AT98" si="120">IF(AX99&lt;=1.1,"",IF(AY99&lt;=1.1,"",IF(F98="","","勤務時間"&amp;CHAR(10)&amp;"OVER")))</f>
        <v/>
      </c>
      <c r="AU98" s="520" t="s">
        <v>630</v>
      </c>
      <c r="AV98" s="520" t="s">
        <v>631</v>
      </c>
      <c r="AX98" s="520" t="s">
        <v>632</v>
      </c>
      <c r="AY98" s="520" t="s">
        <v>633</v>
      </c>
    </row>
    <row r="99" spans="1:51" s="500" customFormat="1" ht="12" customHeight="1">
      <c r="A99" s="673"/>
      <c r="B99" s="676"/>
      <c r="C99" s="694"/>
      <c r="D99" s="682"/>
      <c r="E99" s="521"/>
      <c r="F99" s="686"/>
      <c r="G99" s="687"/>
      <c r="H99" s="522" t="s">
        <v>634</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91"/>
      <c r="AO99" s="663"/>
      <c r="AP99" s="667"/>
      <c r="AQ99" s="668"/>
      <c r="AR99" s="663"/>
      <c r="AS99" s="663"/>
      <c r="AT99" s="671"/>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4"/>
      <c r="B100" s="677"/>
      <c r="C100" s="695"/>
      <c r="D100" s="683"/>
      <c r="E100" s="521"/>
      <c r="F100" s="688"/>
      <c r="G100" s="689"/>
      <c r="H100" s="525" t="s">
        <v>635</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92"/>
      <c r="AO100" s="664"/>
      <c r="AP100" s="669"/>
      <c r="AQ100" s="670"/>
      <c r="AR100" s="664"/>
      <c r="AS100" s="664"/>
      <c r="AT100" s="671"/>
      <c r="AU100" s="527"/>
      <c r="AV100" s="527"/>
      <c r="AX100" s="527"/>
      <c r="AY100" s="527"/>
    </row>
    <row r="101" spans="1:51" s="500" customFormat="1" ht="12" customHeight="1">
      <c r="A101" s="672">
        <v>27</v>
      </c>
      <c r="B101" s="675"/>
      <c r="C101" s="693"/>
      <c r="D101" s="681" t="s">
        <v>628</v>
      </c>
      <c r="E101" s="517"/>
      <c r="F101" s="684"/>
      <c r="G101" s="685"/>
      <c r="H101" s="518" t="s">
        <v>629</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90">
        <f t="shared" ref="AN101" si="123">IF(LEFT($AN$1,6)="共同生活援助",SUM(I102:AM102),SUM(I102:AM103))</f>
        <v>0</v>
      </c>
      <c r="AO101" s="662">
        <f>IF($AN$3="４週",AN101/4,AN101/(DAY(EOMONTH($I$21,0))/7))</f>
        <v>0</v>
      </c>
      <c r="AP101" s="665"/>
      <c r="AQ101" s="666"/>
      <c r="AR101" s="662" t="str">
        <f t="shared" ref="AR101" si="124">IF($AN$3="４週",AU102,AV102)</f>
        <v/>
      </c>
      <c r="AS101" s="662"/>
      <c r="AT101" s="671" t="str">
        <f t="shared" ref="AT101" si="125">IF(AX102&lt;=1.1,"",IF(AY102&lt;=1.1,"",IF(F101="","","勤務時間"&amp;CHAR(10)&amp;"OVER")))</f>
        <v/>
      </c>
      <c r="AU101" s="520" t="s">
        <v>630</v>
      </c>
      <c r="AV101" s="520" t="s">
        <v>631</v>
      </c>
      <c r="AX101" s="520" t="s">
        <v>632</v>
      </c>
      <c r="AY101" s="520" t="s">
        <v>633</v>
      </c>
    </row>
    <row r="102" spans="1:51" s="500" customFormat="1" ht="12" customHeight="1">
      <c r="A102" s="673"/>
      <c r="B102" s="676"/>
      <c r="C102" s="694"/>
      <c r="D102" s="682"/>
      <c r="E102" s="521"/>
      <c r="F102" s="686"/>
      <c r="G102" s="687"/>
      <c r="H102" s="522" t="s">
        <v>634</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91"/>
      <c r="AO102" s="663"/>
      <c r="AP102" s="667"/>
      <c r="AQ102" s="668"/>
      <c r="AR102" s="663"/>
      <c r="AS102" s="663"/>
      <c r="AT102" s="671"/>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4"/>
      <c r="B103" s="677"/>
      <c r="C103" s="695"/>
      <c r="D103" s="683"/>
      <c r="E103" s="521"/>
      <c r="F103" s="688"/>
      <c r="G103" s="689"/>
      <c r="H103" s="525" t="s">
        <v>635</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92"/>
      <c r="AO103" s="664"/>
      <c r="AP103" s="669"/>
      <c r="AQ103" s="670"/>
      <c r="AR103" s="664"/>
      <c r="AS103" s="664"/>
      <c r="AT103" s="671"/>
      <c r="AU103" s="527"/>
      <c r="AV103" s="527"/>
      <c r="AX103" s="527"/>
      <c r="AY103" s="527"/>
    </row>
    <row r="104" spans="1:51" s="500" customFormat="1" ht="12" customHeight="1">
      <c r="A104" s="672">
        <v>28</v>
      </c>
      <c r="B104" s="675"/>
      <c r="C104" s="693"/>
      <c r="D104" s="681" t="s">
        <v>628</v>
      </c>
      <c r="E104" s="517"/>
      <c r="F104" s="684"/>
      <c r="G104" s="685"/>
      <c r="H104" s="518" t="s">
        <v>629</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90">
        <f t="shared" ref="AN104" si="128">IF(LEFT($AN$1,6)="共同生活援助",SUM(I105:AM105),SUM(I105:AM106))</f>
        <v>0</v>
      </c>
      <c r="AO104" s="662">
        <f>IF($AN$3="４週",AN104/4,AN104/(DAY(EOMONTH($I$21,0))/7))</f>
        <v>0</v>
      </c>
      <c r="AP104" s="665"/>
      <c r="AQ104" s="666"/>
      <c r="AR104" s="662" t="str">
        <f t="shared" ref="AR104" si="129">IF($AN$3="４週",AU105,AV105)</f>
        <v/>
      </c>
      <c r="AS104" s="662"/>
      <c r="AT104" s="671" t="str">
        <f t="shared" ref="AT104" si="130">IF(AX105&lt;=1.1,"",IF(AY105&lt;=1.1,"",IF(F104="","","勤務時間"&amp;CHAR(10)&amp;"OVER")))</f>
        <v/>
      </c>
      <c r="AU104" s="520" t="s">
        <v>630</v>
      </c>
      <c r="AV104" s="520" t="s">
        <v>631</v>
      </c>
      <c r="AX104" s="520" t="s">
        <v>632</v>
      </c>
      <c r="AY104" s="520" t="s">
        <v>633</v>
      </c>
    </row>
    <row r="105" spans="1:51" s="500" customFormat="1" ht="12" customHeight="1">
      <c r="A105" s="673"/>
      <c r="B105" s="676"/>
      <c r="C105" s="694"/>
      <c r="D105" s="682"/>
      <c r="E105" s="521"/>
      <c r="F105" s="686"/>
      <c r="G105" s="687"/>
      <c r="H105" s="522" t="s">
        <v>634</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91"/>
      <c r="AO105" s="663"/>
      <c r="AP105" s="667"/>
      <c r="AQ105" s="668"/>
      <c r="AR105" s="663"/>
      <c r="AS105" s="663"/>
      <c r="AT105" s="671"/>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4"/>
      <c r="B106" s="677"/>
      <c r="C106" s="695"/>
      <c r="D106" s="683"/>
      <c r="E106" s="521"/>
      <c r="F106" s="688"/>
      <c r="G106" s="689"/>
      <c r="H106" s="525" t="s">
        <v>635</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92"/>
      <c r="AO106" s="664"/>
      <c r="AP106" s="669"/>
      <c r="AQ106" s="670"/>
      <c r="AR106" s="664"/>
      <c r="AS106" s="664"/>
      <c r="AT106" s="671"/>
      <c r="AU106" s="527"/>
      <c r="AV106" s="527"/>
      <c r="AX106" s="527"/>
      <c r="AY106" s="527"/>
    </row>
    <row r="107" spans="1:51" s="500" customFormat="1" ht="12" customHeight="1">
      <c r="A107" s="672">
        <v>29</v>
      </c>
      <c r="B107" s="675"/>
      <c r="C107" s="693"/>
      <c r="D107" s="681" t="s">
        <v>628</v>
      </c>
      <c r="E107" s="517"/>
      <c r="F107" s="684"/>
      <c r="G107" s="685"/>
      <c r="H107" s="518" t="s">
        <v>629</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90">
        <f t="shared" ref="AN107" si="133">IF(LEFT($AN$1,6)="共同生活援助",SUM(I108:AM108),SUM(I108:AM109))</f>
        <v>0</v>
      </c>
      <c r="AO107" s="662">
        <f>IF($AN$3="４週",AN107/4,AN107/(DAY(EOMONTH($I$21,0))/7))</f>
        <v>0</v>
      </c>
      <c r="AP107" s="665"/>
      <c r="AQ107" s="666"/>
      <c r="AR107" s="662" t="str">
        <f t="shared" ref="AR107" si="134">IF($AN$3="４週",AU108,AV108)</f>
        <v/>
      </c>
      <c r="AS107" s="662"/>
      <c r="AT107" s="671" t="str">
        <f t="shared" ref="AT107" si="135">IF(AX108&lt;=1.1,"",IF(AY108&lt;=1.1,"",IF(F107="","","勤務時間"&amp;CHAR(10)&amp;"OVER")))</f>
        <v/>
      </c>
      <c r="AU107" s="520" t="s">
        <v>630</v>
      </c>
      <c r="AV107" s="520" t="s">
        <v>631</v>
      </c>
      <c r="AX107" s="520" t="s">
        <v>632</v>
      </c>
      <c r="AY107" s="520" t="s">
        <v>633</v>
      </c>
    </row>
    <row r="108" spans="1:51" s="500" customFormat="1" ht="12" customHeight="1">
      <c r="A108" s="673"/>
      <c r="B108" s="676"/>
      <c r="C108" s="694"/>
      <c r="D108" s="682"/>
      <c r="E108" s="521"/>
      <c r="F108" s="686"/>
      <c r="G108" s="687"/>
      <c r="H108" s="522" t="s">
        <v>634</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91"/>
      <c r="AO108" s="663"/>
      <c r="AP108" s="667"/>
      <c r="AQ108" s="668"/>
      <c r="AR108" s="663"/>
      <c r="AS108" s="663"/>
      <c r="AT108" s="671"/>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4"/>
      <c r="B109" s="677"/>
      <c r="C109" s="695"/>
      <c r="D109" s="683"/>
      <c r="E109" s="521"/>
      <c r="F109" s="688"/>
      <c r="G109" s="689"/>
      <c r="H109" s="525" t="s">
        <v>635</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92"/>
      <c r="AO109" s="664"/>
      <c r="AP109" s="669"/>
      <c r="AQ109" s="670"/>
      <c r="AR109" s="664"/>
      <c r="AS109" s="664"/>
      <c r="AT109" s="671"/>
      <c r="AU109" s="527"/>
      <c r="AV109" s="527"/>
      <c r="AX109" s="527"/>
      <c r="AY109" s="527"/>
    </row>
    <row r="110" spans="1:51" s="500" customFormat="1" ht="12" customHeight="1">
      <c r="A110" s="672">
        <v>30</v>
      </c>
      <c r="B110" s="675"/>
      <c r="C110" s="693"/>
      <c r="D110" s="681" t="s">
        <v>628</v>
      </c>
      <c r="E110" s="517"/>
      <c r="F110" s="684"/>
      <c r="G110" s="685"/>
      <c r="H110" s="518" t="s">
        <v>629</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90">
        <f t="shared" ref="AN110" si="138">IF(LEFT($AN$1,6)="共同生活援助",SUM(I111:AM111),SUM(I111:AM112))</f>
        <v>0</v>
      </c>
      <c r="AO110" s="662">
        <f>IF($AN$3="４週",AN110/4,AN110/(DAY(EOMONTH($I$21,0))/7))</f>
        <v>0</v>
      </c>
      <c r="AP110" s="665"/>
      <c r="AQ110" s="666"/>
      <c r="AR110" s="662" t="str">
        <f t="shared" ref="AR110" si="139">IF($AN$3="４週",AU111,AV111)</f>
        <v/>
      </c>
      <c r="AS110" s="662"/>
      <c r="AT110" s="671" t="str">
        <f t="shared" ref="AT110" si="140">IF(AX111&lt;=1.1,"",IF(AY111&lt;=1.1,"",IF(F110="","","勤務時間"&amp;CHAR(10)&amp;"OVER")))</f>
        <v/>
      </c>
      <c r="AU110" s="520" t="s">
        <v>630</v>
      </c>
      <c r="AV110" s="520" t="s">
        <v>631</v>
      </c>
      <c r="AX110" s="520" t="s">
        <v>632</v>
      </c>
      <c r="AY110" s="520" t="s">
        <v>633</v>
      </c>
    </row>
    <row r="111" spans="1:51" s="500" customFormat="1" ht="12" customHeight="1">
      <c r="A111" s="673"/>
      <c r="B111" s="676"/>
      <c r="C111" s="694"/>
      <c r="D111" s="682"/>
      <c r="E111" s="521"/>
      <c r="F111" s="686"/>
      <c r="G111" s="687"/>
      <c r="H111" s="522" t="s">
        <v>634</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91"/>
      <c r="AO111" s="663"/>
      <c r="AP111" s="667"/>
      <c r="AQ111" s="668"/>
      <c r="AR111" s="663"/>
      <c r="AS111" s="663"/>
      <c r="AT111" s="671"/>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4"/>
      <c r="B112" s="677"/>
      <c r="C112" s="695"/>
      <c r="D112" s="683"/>
      <c r="E112" s="521"/>
      <c r="F112" s="688"/>
      <c r="G112" s="689"/>
      <c r="H112" s="525" t="s">
        <v>635</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92"/>
      <c r="AO112" s="664"/>
      <c r="AP112" s="669"/>
      <c r="AQ112" s="670"/>
      <c r="AR112" s="664"/>
      <c r="AS112" s="664"/>
      <c r="AT112" s="671"/>
      <c r="AU112" s="527"/>
      <c r="AV112" s="527"/>
      <c r="AX112" s="527"/>
      <c r="AY112" s="527"/>
    </row>
    <row r="113" spans="1:51" s="500" customFormat="1" ht="12" customHeight="1">
      <c r="A113" s="672">
        <v>31</v>
      </c>
      <c r="B113" s="675"/>
      <c r="C113" s="693"/>
      <c r="D113" s="681" t="s">
        <v>628</v>
      </c>
      <c r="E113" s="517"/>
      <c r="F113" s="684"/>
      <c r="G113" s="685"/>
      <c r="H113" s="518" t="s">
        <v>629</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90">
        <f t="shared" ref="AN113" si="143">IF(LEFT($AN$1,6)="共同生活援助",SUM(I114:AM114),SUM(I114:AM115))</f>
        <v>0</v>
      </c>
      <c r="AO113" s="662">
        <f>IF($AN$3="４週",AN113/4,AN113/(DAY(EOMONTH($I$21,0))/7))</f>
        <v>0</v>
      </c>
      <c r="AP113" s="665"/>
      <c r="AQ113" s="666"/>
      <c r="AR113" s="662" t="str">
        <f t="shared" ref="AR113" si="144">IF($AN$3="４週",AU114,AV114)</f>
        <v/>
      </c>
      <c r="AS113" s="662"/>
      <c r="AT113" s="671" t="str">
        <f t="shared" ref="AT113" si="145">IF(AX114&lt;=1.1,"",IF(AY114&lt;=1.1,"",IF(F113="","","勤務時間"&amp;CHAR(10)&amp;"OVER")))</f>
        <v/>
      </c>
      <c r="AU113" s="520" t="s">
        <v>630</v>
      </c>
      <c r="AV113" s="520" t="s">
        <v>631</v>
      </c>
      <c r="AX113" s="520" t="s">
        <v>632</v>
      </c>
      <c r="AY113" s="520" t="s">
        <v>633</v>
      </c>
    </row>
    <row r="114" spans="1:51" s="500" customFormat="1" ht="12" customHeight="1">
      <c r="A114" s="673"/>
      <c r="B114" s="676"/>
      <c r="C114" s="694"/>
      <c r="D114" s="682"/>
      <c r="E114" s="521"/>
      <c r="F114" s="686"/>
      <c r="G114" s="687"/>
      <c r="H114" s="522" t="s">
        <v>634</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91"/>
      <c r="AO114" s="663"/>
      <c r="AP114" s="667"/>
      <c r="AQ114" s="668"/>
      <c r="AR114" s="663"/>
      <c r="AS114" s="663"/>
      <c r="AT114" s="671"/>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4"/>
      <c r="B115" s="677"/>
      <c r="C115" s="695"/>
      <c r="D115" s="683"/>
      <c r="E115" s="521"/>
      <c r="F115" s="688"/>
      <c r="G115" s="689"/>
      <c r="H115" s="525" t="s">
        <v>635</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92"/>
      <c r="AO115" s="664"/>
      <c r="AP115" s="669"/>
      <c r="AQ115" s="670"/>
      <c r="AR115" s="664"/>
      <c r="AS115" s="664"/>
      <c r="AT115" s="671"/>
      <c r="AU115" s="527"/>
      <c r="AV115" s="527"/>
      <c r="AX115" s="527"/>
      <c r="AY115" s="527"/>
    </row>
    <row r="116" spans="1:51" s="500" customFormat="1" ht="12" customHeight="1">
      <c r="A116" s="672">
        <v>32</v>
      </c>
      <c r="B116" s="675"/>
      <c r="C116" s="693"/>
      <c r="D116" s="681" t="s">
        <v>628</v>
      </c>
      <c r="E116" s="517"/>
      <c r="F116" s="684"/>
      <c r="G116" s="685"/>
      <c r="H116" s="518" t="s">
        <v>629</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90">
        <f t="shared" ref="AN116" si="148">IF(LEFT($AN$1,6)="共同生活援助",SUM(I117:AM117),SUM(I117:AM118))</f>
        <v>0</v>
      </c>
      <c r="AO116" s="662">
        <f>IF($AN$3="４週",AN116/4,AN116/(DAY(EOMONTH($I$21,0))/7))</f>
        <v>0</v>
      </c>
      <c r="AP116" s="665"/>
      <c r="AQ116" s="666"/>
      <c r="AR116" s="662" t="str">
        <f t="shared" ref="AR116" si="149">IF($AN$3="４週",AU117,AV117)</f>
        <v/>
      </c>
      <c r="AS116" s="662"/>
      <c r="AT116" s="671" t="str">
        <f t="shared" ref="AT116" si="150">IF(AX117&lt;=1.1,"",IF(AY117&lt;=1.1,"",IF(F116="","","勤務時間"&amp;CHAR(10)&amp;"OVER")))</f>
        <v/>
      </c>
      <c r="AU116" s="520" t="s">
        <v>630</v>
      </c>
      <c r="AV116" s="520" t="s">
        <v>631</v>
      </c>
      <c r="AX116" s="520" t="s">
        <v>632</v>
      </c>
      <c r="AY116" s="520" t="s">
        <v>633</v>
      </c>
    </row>
    <row r="117" spans="1:51" s="500" customFormat="1" ht="12" customHeight="1">
      <c r="A117" s="673"/>
      <c r="B117" s="676"/>
      <c r="C117" s="694"/>
      <c r="D117" s="682"/>
      <c r="E117" s="521"/>
      <c r="F117" s="686"/>
      <c r="G117" s="687"/>
      <c r="H117" s="522" t="s">
        <v>634</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91"/>
      <c r="AO117" s="663"/>
      <c r="AP117" s="667"/>
      <c r="AQ117" s="668"/>
      <c r="AR117" s="663"/>
      <c r="AS117" s="663"/>
      <c r="AT117" s="671"/>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4"/>
      <c r="B118" s="677"/>
      <c r="C118" s="695"/>
      <c r="D118" s="683"/>
      <c r="E118" s="521"/>
      <c r="F118" s="688"/>
      <c r="G118" s="689"/>
      <c r="H118" s="525" t="s">
        <v>635</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92"/>
      <c r="AO118" s="664"/>
      <c r="AP118" s="669"/>
      <c r="AQ118" s="670"/>
      <c r="AR118" s="664"/>
      <c r="AS118" s="664"/>
      <c r="AT118" s="671"/>
      <c r="AU118" s="527"/>
      <c r="AV118" s="527"/>
      <c r="AX118" s="527"/>
      <c r="AY118" s="527"/>
    </row>
    <row r="119" spans="1:51" s="500" customFormat="1" ht="12" customHeight="1">
      <c r="A119" s="672">
        <v>33</v>
      </c>
      <c r="B119" s="675"/>
      <c r="C119" s="693"/>
      <c r="D119" s="681" t="s">
        <v>628</v>
      </c>
      <c r="E119" s="517"/>
      <c r="F119" s="684"/>
      <c r="G119" s="685"/>
      <c r="H119" s="518" t="s">
        <v>629</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90">
        <f t="shared" ref="AN119" si="153">IF(LEFT($AN$1,6)="共同生活援助",SUM(I120:AM120),SUM(I120:AM121))</f>
        <v>0</v>
      </c>
      <c r="AO119" s="662">
        <f>IF($AN$3="４週",AN119/4,AN119/(DAY(EOMONTH($I$21,0))/7))</f>
        <v>0</v>
      </c>
      <c r="AP119" s="665"/>
      <c r="AQ119" s="666"/>
      <c r="AR119" s="662" t="str">
        <f t="shared" ref="AR119" si="154">IF($AN$3="４週",AU120,AV120)</f>
        <v/>
      </c>
      <c r="AS119" s="662"/>
      <c r="AT119" s="671" t="str">
        <f t="shared" ref="AT119" si="155">IF(AX120&lt;=1.1,"",IF(AY120&lt;=1.1,"",IF(F119="","","勤務時間"&amp;CHAR(10)&amp;"OVER")))</f>
        <v/>
      </c>
      <c r="AU119" s="520" t="s">
        <v>630</v>
      </c>
      <c r="AV119" s="520" t="s">
        <v>631</v>
      </c>
      <c r="AX119" s="520" t="s">
        <v>632</v>
      </c>
      <c r="AY119" s="520" t="s">
        <v>633</v>
      </c>
    </row>
    <row r="120" spans="1:51" s="500" customFormat="1" ht="12" customHeight="1">
      <c r="A120" s="673"/>
      <c r="B120" s="676"/>
      <c r="C120" s="694"/>
      <c r="D120" s="682"/>
      <c r="E120" s="521"/>
      <c r="F120" s="686"/>
      <c r="G120" s="687"/>
      <c r="H120" s="522" t="s">
        <v>634</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91"/>
      <c r="AO120" s="663"/>
      <c r="AP120" s="667"/>
      <c r="AQ120" s="668"/>
      <c r="AR120" s="663"/>
      <c r="AS120" s="663"/>
      <c r="AT120" s="671"/>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4"/>
      <c r="B121" s="677"/>
      <c r="C121" s="695"/>
      <c r="D121" s="683"/>
      <c r="E121" s="521"/>
      <c r="F121" s="688"/>
      <c r="G121" s="689"/>
      <c r="H121" s="525" t="s">
        <v>635</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92"/>
      <c r="AO121" s="664"/>
      <c r="AP121" s="669"/>
      <c r="AQ121" s="670"/>
      <c r="AR121" s="664"/>
      <c r="AS121" s="664"/>
      <c r="AT121" s="671"/>
      <c r="AU121" s="527"/>
      <c r="AV121" s="527"/>
      <c r="AX121" s="527"/>
      <c r="AY121" s="527"/>
    </row>
    <row r="122" spans="1:51" s="500" customFormat="1" ht="12" customHeight="1">
      <c r="A122" s="672">
        <v>34</v>
      </c>
      <c r="B122" s="675"/>
      <c r="C122" s="693"/>
      <c r="D122" s="681" t="s">
        <v>628</v>
      </c>
      <c r="E122" s="517"/>
      <c r="F122" s="684"/>
      <c r="G122" s="685"/>
      <c r="H122" s="518" t="s">
        <v>629</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90">
        <f t="shared" ref="AN122" si="158">IF(LEFT($AN$1,6)="共同生活援助",SUM(I123:AM123),SUM(I123:AM124))</f>
        <v>0</v>
      </c>
      <c r="AO122" s="662">
        <f>IF($AN$3="４週",AN122/4,AN122/(DAY(EOMONTH($I$21,0))/7))</f>
        <v>0</v>
      </c>
      <c r="AP122" s="665"/>
      <c r="AQ122" s="666"/>
      <c r="AR122" s="662" t="str">
        <f t="shared" ref="AR122" si="159">IF($AN$3="４週",AU123,AV123)</f>
        <v/>
      </c>
      <c r="AS122" s="662"/>
      <c r="AT122" s="671" t="str">
        <f t="shared" ref="AT122" si="160">IF(AX123&lt;=1.1,"",IF(AY123&lt;=1.1,"",IF(F122="","","勤務時間"&amp;CHAR(10)&amp;"OVER")))</f>
        <v/>
      </c>
      <c r="AU122" s="520" t="s">
        <v>630</v>
      </c>
      <c r="AV122" s="520" t="s">
        <v>631</v>
      </c>
      <c r="AX122" s="520" t="s">
        <v>632</v>
      </c>
      <c r="AY122" s="520" t="s">
        <v>633</v>
      </c>
    </row>
    <row r="123" spans="1:51" s="500" customFormat="1" ht="12" customHeight="1">
      <c r="A123" s="673"/>
      <c r="B123" s="676"/>
      <c r="C123" s="694"/>
      <c r="D123" s="682"/>
      <c r="E123" s="521"/>
      <c r="F123" s="686"/>
      <c r="G123" s="687"/>
      <c r="H123" s="522" t="s">
        <v>634</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91"/>
      <c r="AO123" s="663"/>
      <c r="AP123" s="667"/>
      <c r="AQ123" s="668"/>
      <c r="AR123" s="663"/>
      <c r="AS123" s="663"/>
      <c r="AT123" s="671"/>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4"/>
      <c r="B124" s="677"/>
      <c r="C124" s="695"/>
      <c r="D124" s="683"/>
      <c r="E124" s="521"/>
      <c r="F124" s="688"/>
      <c r="G124" s="689"/>
      <c r="H124" s="525" t="s">
        <v>635</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92"/>
      <c r="AO124" s="664"/>
      <c r="AP124" s="669"/>
      <c r="AQ124" s="670"/>
      <c r="AR124" s="664"/>
      <c r="AS124" s="664"/>
      <c r="AT124" s="671"/>
      <c r="AU124" s="527"/>
      <c r="AV124" s="527"/>
      <c r="AX124" s="527"/>
      <c r="AY124" s="527"/>
    </row>
    <row r="125" spans="1:51" s="500" customFormat="1" ht="12" customHeight="1">
      <c r="A125" s="672">
        <v>35</v>
      </c>
      <c r="B125" s="675"/>
      <c r="C125" s="693"/>
      <c r="D125" s="681" t="s">
        <v>628</v>
      </c>
      <c r="E125" s="517"/>
      <c r="F125" s="684"/>
      <c r="G125" s="685"/>
      <c r="H125" s="518" t="s">
        <v>629</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90">
        <f t="shared" ref="AN125" si="163">IF(LEFT($AN$1,6)="共同生活援助",SUM(I126:AM126),SUM(I126:AM127))</f>
        <v>0</v>
      </c>
      <c r="AO125" s="662">
        <f>IF($AN$3="４週",AN125/4,AN125/(DAY(EOMONTH($I$21,0))/7))</f>
        <v>0</v>
      </c>
      <c r="AP125" s="665"/>
      <c r="AQ125" s="666"/>
      <c r="AR125" s="662" t="str">
        <f t="shared" ref="AR125" si="164">IF($AN$3="４週",AU126,AV126)</f>
        <v/>
      </c>
      <c r="AS125" s="662"/>
      <c r="AT125" s="671" t="str">
        <f t="shared" ref="AT125" si="165">IF(AX126&lt;=1.1,"",IF(AY126&lt;=1.1,"",IF(F125="","","勤務時間"&amp;CHAR(10)&amp;"OVER")))</f>
        <v/>
      </c>
      <c r="AU125" s="520" t="s">
        <v>630</v>
      </c>
      <c r="AV125" s="520" t="s">
        <v>631</v>
      </c>
      <c r="AX125" s="520" t="s">
        <v>632</v>
      </c>
      <c r="AY125" s="520" t="s">
        <v>633</v>
      </c>
    </row>
    <row r="126" spans="1:51" s="500" customFormat="1" ht="12" customHeight="1">
      <c r="A126" s="673"/>
      <c r="B126" s="676"/>
      <c r="C126" s="694"/>
      <c r="D126" s="682"/>
      <c r="E126" s="521"/>
      <c r="F126" s="686"/>
      <c r="G126" s="687"/>
      <c r="H126" s="522" t="s">
        <v>634</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91"/>
      <c r="AO126" s="663"/>
      <c r="AP126" s="667"/>
      <c r="AQ126" s="668"/>
      <c r="AR126" s="663"/>
      <c r="AS126" s="663"/>
      <c r="AT126" s="671"/>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4"/>
      <c r="B127" s="677"/>
      <c r="C127" s="695"/>
      <c r="D127" s="683"/>
      <c r="E127" s="521"/>
      <c r="F127" s="688"/>
      <c r="G127" s="689"/>
      <c r="H127" s="525" t="s">
        <v>635</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92"/>
      <c r="AO127" s="664"/>
      <c r="AP127" s="669"/>
      <c r="AQ127" s="670"/>
      <c r="AR127" s="664"/>
      <c r="AS127" s="664"/>
      <c r="AT127" s="671"/>
      <c r="AU127" s="527"/>
      <c r="AV127" s="527"/>
      <c r="AX127" s="527"/>
      <c r="AY127" s="527"/>
    </row>
    <row r="128" spans="1:51" s="500" customFormat="1" ht="12" customHeight="1">
      <c r="A128" s="672">
        <v>36</v>
      </c>
      <c r="B128" s="675"/>
      <c r="C128" s="693"/>
      <c r="D128" s="681" t="s">
        <v>628</v>
      </c>
      <c r="E128" s="517"/>
      <c r="F128" s="684"/>
      <c r="G128" s="685"/>
      <c r="H128" s="518" t="s">
        <v>629</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90">
        <f t="shared" ref="AN128" si="168">IF(LEFT($AN$1,6)="共同生活援助",SUM(I129:AM129),SUM(I129:AM130))</f>
        <v>0</v>
      </c>
      <c r="AO128" s="662">
        <f>IF($AN$3="４週",AN128/4,AN128/(DAY(EOMONTH($I$21,0))/7))</f>
        <v>0</v>
      </c>
      <c r="AP128" s="665"/>
      <c r="AQ128" s="666"/>
      <c r="AR128" s="662" t="str">
        <f t="shared" ref="AR128" si="169">IF($AN$3="４週",AU129,AV129)</f>
        <v/>
      </c>
      <c r="AS128" s="662"/>
      <c r="AT128" s="671" t="str">
        <f t="shared" ref="AT128" si="170">IF(AX129&lt;=1.1,"",IF(AY129&lt;=1.1,"",IF(F128="","","勤務時間"&amp;CHAR(10)&amp;"OVER")))</f>
        <v/>
      </c>
      <c r="AU128" s="520" t="s">
        <v>630</v>
      </c>
      <c r="AV128" s="520" t="s">
        <v>631</v>
      </c>
      <c r="AX128" s="520" t="s">
        <v>632</v>
      </c>
      <c r="AY128" s="520" t="s">
        <v>633</v>
      </c>
    </row>
    <row r="129" spans="1:51" s="500" customFormat="1" ht="12" customHeight="1">
      <c r="A129" s="673"/>
      <c r="B129" s="676"/>
      <c r="C129" s="694"/>
      <c r="D129" s="682"/>
      <c r="E129" s="521"/>
      <c r="F129" s="686"/>
      <c r="G129" s="687"/>
      <c r="H129" s="522" t="s">
        <v>634</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91"/>
      <c r="AO129" s="663"/>
      <c r="AP129" s="667"/>
      <c r="AQ129" s="668"/>
      <c r="AR129" s="663"/>
      <c r="AS129" s="663"/>
      <c r="AT129" s="671"/>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4"/>
      <c r="B130" s="677"/>
      <c r="C130" s="695"/>
      <c r="D130" s="683"/>
      <c r="E130" s="521"/>
      <c r="F130" s="688"/>
      <c r="G130" s="689"/>
      <c r="H130" s="525" t="s">
        <v>635</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92"/>
      <c r="AO130" s="664"/>
      <c r="AP130" s="669"/>
      <c r="AQ130" s="670"/>
      <c r="AR130" s="664"/>
      <c r="AS130" s="664"/>
      <c r="AT130" s="671"/>
      <c r="AU130" s="527"/>
      <c r="AV130" s="527"/>
      <c r="AX130" s="527"/>
      <c r="AY130" s="527"/>
    </row>
    <row r="131" spans="1:51" s="500" customFormat="1" ht="12" customHeight="1">
      <c r="A131" s="672">
        <v>37</v>
      </c>
      <c r="B131" s="675"/>
      <c r="C131" s="678"/>
      <c r="D131" s="681" t="s">
        <v>628</v>
      </c>
      <c r="E131" s="517"/>
      <c r="F131" s="684"/>
      <c r="G131" s="685"/>
      <c r="H131" s="518" t="s">
        <v>629</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90">
        <f t="shared" ref="AN131" si="173">IF(LEFT($AN$1,6)="共同生活援助",SUM(I132:AM132),SUM(I132:AM133))</f>
        <v>0</v>
      </c>
      <c r="AO131" s="662">
        <f>IF($AN$3="４週",AN131/4,AN131/(DAY(EOMONTH($I$21,0))/7))</f>
        <v>0</v>
      </c>
      <c r="AP131" s="665"/>
      <c r="AQ131" s="666"/>
      <c r="AR131" s="662" t="str">
        <f t="shared" ref="AR131" si="174">IF($AN$3="４週",AU132,AV132)</f>
        <v/>
      </c>
      <c r="AS131" s="662"/>
      <c r="AT131" s="671" t="str">
        <f t="shared" ref="AT131" si="175">IF(AX132&lt;=1.1,"",IF(AY132&lt;=1.1,"",IF(F131="","","勤務時間"&amp;CHAR(10)&amp;"OVER")))</f>
        <v/>
      </c>
      <c r="AU131" s="520" t="s">
        <v>630</v>
      </c>
      <c r="AV131" s="520" t="s">
        <v>631</v>
      </c>
      <c r="AX131" s="520" t="s">
        <v>632</v>
      </c>
      <c r="AY131" s="520" t="s">
        <v>633</v>
      </c>
    </row>
    <row r="132" spans="1:51" s="500" customFormat="1" ht="12" customHeight="1">
      <c r="A132" s="673"/>
      <c r="B132" s="676"/>
      <c r="C132" s="679"/>
      <c r="D132" s="682"/>
      <c r="E132" s="521"/>
      <c r="F132" s="686"/>
      <c r="G132" s="687"/>
      <c r="H132" s="522" t="s">
        <v>634</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91"/>
      <c r="AO132" s="663"/>
      <c r="AP132" s="667"/>
      <c r="AQ132" s="668"/>
      <c r="AR132" s="663"/>
      <c r="AS132" s="663"/>
      <c r="AT132" s="671"/>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4"/>
      <c r="B133" s="677"/>
      <c r="C133" s="680"/>
      <c r="D133" s="683"/>
      <c r="E133" s="521"/>
      <c r="F133" s="688"/>
      <c r="G133" s="689"/>
      <c r="H133" s="525" t="s">
        <v>635</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92"/>
      <c r="AO133" s="664"/>
      <c r="AP133" s="669"/>
      <c r="AQ133" s="670"/>
      <c r="AR133" s="664"/>
      <c r="AS133" s="664"/>
      <c r="AT133" s="671"/>
      <c r="AU133" s="527"/>
      <c r="AV133" s="527"/>
      <c r="AX133" s="527"/>
      <c r="AY133" s="527"/>
    </row>
    <row r="134" spans="1:51" s="500" customFormat="1" ht="12" customHeight="1">
      <c r="A134" s="672">
        <v>38</v>
      </c>
      <c r="B134" s="675"/>
      <c r="C134" s="693"/>
      <c r="D134" s="681" t="s">
        <v>628</v>
      </c>
      <c r="E134" s="517"/>
      <c r="F134" s="684"/>
      <c r="G134" s="685"/>
      <c r="H134" s="518" t="s">
        <v>629</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90">
        <f t="shared" ref="AN134" si="178">IF(LEFT($AN$1,6)="共同生活援助",SUM(I135:AM135),SUM(I135:AM136))</f>
        <v>0</v>
      </c>
      <c r="AO134" s="662">
        <f>IF($AN$3="４週",AN134/4,AN134/(DAY(EOMONTH($I$21,0))/7))</f>
        <v>0</v>
      </c>
      <c r="AP134" s="665"/>
      <c r="AQ134" s="666"/>
      <c r="AR134" s="662" t="str">
        <f t="shared" ref="AR134" si="179">IF($AN$3="４週",AU135,AV135)</f>
        <v/>
      </c>
      <c r="AS134" s="662"/>
      <c r="AT134" s="671" t="str">
        <f t="shared" ref="AT134" si="180">IF(AX135&lt;=1.1,"",IF(AY135&lt;=1.1,"",IF(F134="","","勤務時間"&amp;CHAR(10)&amp;"OVER")))</f>
        <v/>
      </c>
      <c r="AU134" s="520" t="s">
        <v>630</v>
      </c>
      <c r="AV134" s="520" t="s">
        <v>631</v>
      </c>
      <c r="AX134" s="520" t="s">
        <v>632</v>
      </c>
      <c r="AY134" s="520" t="s">
        <v>633</v>
      </c>
    </row>
    <row r="135" spans="1:51" s="500" customFormat="1" ht="12" customHeight="1">
      <c r="A135" s="673"/>
      <c r="B135" s="676"/>
      <c r="C135" s="694"/>
      <c r="D135" s="682"/>
      <c r="E135" s="521"/>
      <c r="F135" s="686"/>
      <c r="G135" s="687"/>
      <c r="H135" s="522" t="s">
        <v>634</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91"/>
      <c r="AO135" s="663"/>
      <c r="AP135" s="667"/>
      <c r="AQ135" s="668"/>
      <c r="AR135" s="663"/>
      <c r="AS135" s="663"/>
      <c r="AT135" s="671"/>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4"/>
      <c r="B136" s="677"/>
      <c r="C136" s="695"/>
      <c r="D136" s="683"/>
      <c r="E136" s="521"/>
      <c r="F136" s="688"/>
      <c r="G136" s="689"/>
      <c r="H136" s="525" t="s">
        <v>635</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92"/>
      <c r="AO136" s="664"/>
      <c r="AP136" s="669"/>
      <c r="AQ136" s="670"/>
      <c r="AR136" s="664"/>
      <c r="AS136" s="664"/>
      <c r="AT136" s="671"/>
      <c r="AU136" s="527"/>
      <c r="AV136" s="527"/>
      <c r="AX136" s="527"/>
      <c r="AY136" s="527"/>
    </row>
    <row r="137" spans="1:51" s="500" customFormat="1" ht="12" customHeight="1">
      <c r="A137" s="672">
        <v>39</v>
      </c>
      <c r="B137" s="675"/>
      <c r="C137" s="693"/>
      <c r="D137" s="681" t="s">
        <v>628</v>
      </c>
      <c r="E137" s="517"/>
      <c r="F137" s="684"/>
      <c r="G137" s="685"/>
      <c r="H137" s="518" t="s">
        <v>629</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90">
        <f t="shared" ref="AN137" si="183">IF(LEFT($AN$1,6)="共同生活援助",SUM(I138:AM138),SUM(I138:AM139))</f>
        <v>0</v>
      </c>
      <c r="AO137" s="662">
        <f>IF($AN$3="４週",AN137/4,AN137/(DAY(EOMONTH($I$21,0))/7))</f>
        <v>0</v>
      </c>
      <c r="AP137" s="665"/>
      <c r="AQ137" s="666"/>
      <c r="AR137" s="662" t="str">
        <f t="shared" ref="AR137" si="184">IF($AN$3="４週",AU138,AV138)</f>
        <v/>
      </c>
      <c r="AS137" s="662"/>
      <c r="AT137" s="671" t="str">
        <f t="shared" ref="AT137" si="185">IF(AX138&lt;=1.1,"",IF(AY138&lt;=1.1,"",IF(F137="","","勤務時間"&amp;CHAR(10)&amp;"OVER")))</f>
        <v/>
      </c>
      <c r="AU137" s="520" t="s">
        <v>630</v>
      </c>
      <c r="AV137" s="520" t="s">
        <v>631</v>
      </c>
      <c r="AX137" s="520" t="s">
        <v>632</v>
      </c>
      <c r="AY137" s="520" t="s">
        <v>633</v>
      </c>
    </row>
    <row r="138" spans="1:51" s="500" customFormat="1" ht="12" customHeight="1">
      <c r="A138" s="673"/>
      <c r="B138" s="676"/>
      <c r="C138" s="694"/>
      <c r="D138" s="682"/>
      <c r="E138" s="521"/>
      <c r="F138" s="686"/>
      <c r="G138" s="687"/>
      <c r="H138" s="522" t="s">
        <v>634</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91"/>
      <c r="AO138" s="663"/>
      <c r="AP138" s="667"/>
      <c r="AQ138" s="668"/>
      <c r="AR138" s="663"/>
      <c r="AS138" s="663"/>
      <c r="AT138" s="671"/>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4"/>
      <c r="B139" s="677"/>
      <c r="C139" s="695"/>
      <c r="D139" s="683"/>
      <c r="E139" s="521"/>
      <c r="F139" s="688"/>
      <c r="G139" s="689"/>
      <c r="H139" s="525" t="s">
        <v>635</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92"/>
      <c r="AO139" s="664"/>
      <c r="AP139" s="669"/>
      <c r="AQ139" s="670"/>
      <c r="AR139" s="664"/>
      <c r="AS139" s="664"/>
      <c r="AT139" s="671"/>
      <c r="AU139" s="527"/>
      <c r="AV139" s="527"/>
      <c r="AX139" s="527"/>
      <c r="AY139" s="527"/>
    </row>
    <row r="140" spans="1:51" s="500" customFormat="1" ht="12" customHeight="1">
      <c r="A140" s="672">
        <v>40</v>
      </c>
      <c r="B140" s="675"/>
      <c r="C140" s="693"/>
      <c r="D140" s="681" t="s">
        <v>628</v>
      </c>
      <c r="E140" s="517"/>
      <c r="F140" s="684"/>
      <c r="G140" s="685"/>
      <c r="H140" s="518" t="s">
        <v>629</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90">
        <f t="shared" ref="AN140" si="188">IF(LEFT($AN$1,6)="共同生活援助",SUM(I141:AM141),SUM(I141:AM142))</f>
        <v>0</v>
      </c>
      <c r="AO140" s="662">
        <f>IF($AN$3="４週",AN140/4,AN140/(DAY(EOMONTH($I$21,0))/7))</f>
        <v>0</v>
      </c>
      <c r="AP140" s="665"/>
      <c r="AQ140" s="666"/>
      <c r="AR140" s="662" t="str">
        <f t="shared" ref="AR140" si="189">IF($AN$3="４週",AU141,AV141)</f>
        <v/>
      </c>
      <c r="AS140" s="662"/>
      <c r="AT140" s="671" t="str">
        <f t="shared" ref="AT140" si="190">IF(AX141&lt;=1.1,"",IF(AY141&lt;=1.1,"",IF(F140="","","勤務時間"&amp;CHAR(10)&amp;"OVER")))</f>
        <v/>
      </c>
      <c r="AU140" s="520" t="s">
        <v>630</v>
      </c>
      <c r="AV140" s="520" t="s">
        <v>631</v>
      </c>
      <c r="AX140" s="520" t="s">
        <v>632</v>
      </c>
      <c r="AY140" s="520" t="s">
        <v>633</v>
      </c>
    </row>
    <row r="141" spans="1:51" s="500" customFormat="1" ht="12" customHeight="1">
      <c r="A141" s="673"/>
      <c r="B141" s="676"/>
      <c r="C141" s="694"/>
      <c r="D141" s="682"/>
      <c r="E141" s="521"/>
      <c r="F141" s="686"/>
      <c r="G141" s="687"/>
      <c r="H141" s="522" t="s">
        <v>634</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91"/>
      <c r="AO141" s="663"/>
      <c r="AP141" s="667"/>
      <c r="AQ141" s="668"/>
      <c r="AR141" s="663"/>
      <c r="AS141" s="663"/>
      <c r="AT141" s="671"/>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4"/>
      <c r="B142" s="677"/>
      <c r="C142" s="695"/>
      <c r="D142" s="683"/>
      <c r="E142" s="521"/>
      <c r="F142" s="688"/>
      <c r="G142" s="689"/>
      <c r="H142" s="525" t="s">
        <v>635</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92"/>
      <c r="AO142" s="664"/>
      <c r="AP142" s="669"/>
      <c r="AQ142" s="670"/>
      <c r="AR142" s="664"/>
      <c r="AS142" s="664"/>
      <c r="AT142" s="671"/>
      <c r="AU142" s="527"/>
      <c r="AV142" s="527"/>
      <c r="AX142" s="527"/>
      <c r="AY142" s="527"/>
    </row>
    <row r="143" spans="1:51" s="500" customFormat="1" ht="12" customHeight="1">
      <c r="A143" s="672">
        <v>41</v>
      </c>
      <c r="B143" s="675"/>
      <c r="C143" s="693"/>
      <c r="D143" s="681" t="s">
        <v>628</v>
      </c>
      <c r="E143" s="517"/>
      <c r="F143" s="684"/>
      <c r="G143" s="685"/>
      <c r="H143" s="518" t="s">
        <v>629</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90">
        <f t="shared" ref="AN143" si="193">IF(LEFT($AN$1,6)="共同生活援助",SUM(I144:AM144),SUM(I144:AM145))</f>
        <v>0</v>
      </c>
      <c r="AO143" s="662">
        <f>IF($AN$3="４週",AN143/4,AN143/(DAY(EOMONTH($I$21,0))/7))</f>
        <v>0</v>
      </c>
      <c r="AP143" s="665"/>
      <c r="AQ143" s="666"/>
      <c r="AR143" s="662" t="str">
        <f t="shared" ref="AR143" si="194">IF($AN$3="４週",AU144,AV144)</f>
        <v/>
      </c>
      <c r="AS143" s="662"/>
      <c r="AT143" s="671" t="str">
        <f t="shared" ref="AT143" si="195">IF(AX144&lt;=1.1,"",IF(AY144&lt;=1.1,"",IF(F143="","","勤務時間"&amp;CHAR(10)&amp;"OVER")))</f>
        <v/>
      </c>
      <c r="AU143" s="520" t="s">
        <v>630</v>
      </c>
      <c r="AV143" s="520" t="s">
        <v>631</v>
      </c>
      <c r="AX143" s="520" t="s">
        <v>632</v>
      </c>
      <c r="AY143" s="520" t="s">
        <v>633</v>
      </c>
    </row>
    <row r="144" spans="1:51" s="500" customFormat="1" ht="12" customHeight="1">
      <c r="A144" s="673"/>
      <c r="B144" s="676"/>
      <c r="C144" s="694"/>
      <c r="D144" s="682"/>
      <c r="E144" s="521"/>
      <c r="F144" s="686"/>
      <c r="G144" s="687"/>
      <c r="H144" s="522" t="s">
        <v>634</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91"/>
      <c r="AO144" s="663"/>
      <c r="AP144" s="667"/>
      <c r="AQ144" s="668"/>
      <c r="AR144" s="663"/>
      <c r="AS144" s="663"/>
      <c r="AT144" s="671"/>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4"/>
      <c r="B145" s="677"/>
      <c r="C145" s="695"/>
      <c r="D145" s="683"/>
      <c r="E145" s="521"/>
      <c r="F145" s="688"/>
      <c r="G145" s="689"/>
      <c r="H145" s="525" t="s">
        <v>635</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92"/>
      <c r="AO145" s="664"/>
      <c r="AP145" s="669"/>
      <c r="AQ145" s="670"/>
      <c r="AR145" s="664"/>
      <c r="AS145" s="664"/>
      <c r="AT145" s="671"/>
      <c r="AU145" s="527"/>
      <c r="AV145" s="527"/>
      <c r="AX145" s="527"/>
      <c r="AY145" s="527"/>
    </row>
    <row r="146" spans="1:51" s="500" customFormat="1" ht="12" customHeight="1">
      <c r="A146" s="672">
        <v>42</v>
      </c>
      <c r="B146" s="675"/>
      <c r="C146" s="693"/>
      <c r="D146" s="681" t="s">
        <v>628</v>
      </c>
      <c r="E146" s="517"/>
      <c r="F146" s="684"/>
      <c r="G146" s="685"/>
      <c r="H146" s="518" t="s">
        <v>629</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90">
        <f t="shared" ref="AN146" si="198">IF(LEFT($AN$1,6)="共同生活援助",SUM(I147:AM147),SUM(I147:AM148))</f>
        <v>0</v>
      </c>
      <c r="AO146" s="662">
        <f>IF($AN$3="４週",AN146/4,AN146/(DAY(EOMONTH($I$21,0))/7))</f>
        <v>0</v>
      </c>
      <c r="AP146" s="665"/>
      <c r="AQ146" s="666"/>
      <c r="AR146" s="662" t="str">
        <f t="shared" ref="AR146" si="199">IF($AN$3="４週",AU147,AV147)</f>
        <v/>
      </c>
      <c r="AS146" s="662"/>
      <c r="AT146" s="671" t="str">
        <f t="shared" ref="AT146" si="200">IF(AX147&lt;=1.1,"",IF(AY147&lt;=1.1,"",IF(F146="","","勤務時間"&amp;CHAR(10)&amp;"OVER")))</f>
        <v/>
      </c>
      <c r="AU146" s="520" t="s">
        <v>630</v>
      </c>
      <c r="AV146" s="520" t="s">
        <v>631</v>
      </c>
      <c r="AX146" s="520" t="s">
        <v>632</v>
      </c>
      <c r="AY146" s="520" t="s">
        <v>633</v>
      </c>
    </row>
    <row r="147" spans="1:51" s="500" customFormat="1" ht="12" customHeight="1">
      <c r="A147" s="673"/>
      <c r="B147" s="676"/>
      <c r="C147" s="694"/>
      <c r="D147" s="682"/>
      <c r="E147" s="521"/>
      <c r="F147" s="686"/>
      <c r="G147" s="687"/>
      <c r="H147" s="522" t="s">
        <v>634</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91"/>
      <c r="AO147" s="663"/>
      <c r="AP147" s="667"/>
      <c r="AQ147" s="668"/>
      <c r="AR147" s="663"/>
      <c r="AS147" s="663"/>
      <c r="AT147" s="671"/>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4"/>
      <c r="B148" s="677"/>
      <c r="C148" s="695"/>
      <c r="D148" s="683"/>
      <c r="E148" s="521"/>
      <c r="F148" s="688"/>
      <c r="G148" s="689"/>
      <c r="H148" s="525" t="s">
        <v>635</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92"/>
      <c r="AO148" s="664"/>
      <c r="AP148" s="669"/>
      <c r="AQ148" s="670"/>
      <c r="AR148" s="664"/>
      <c r="AS148" s="664"/>
      <c r="AT148" s="671"/>
      <c r="AU148" s="527"/>
      <c r="AV148" s="527"/>
      <c r="AX148" s="527"/>
      <c r="AY148" s="527"/>
    </row>
    <row r="149" spans="1:51" s="500" customFormat="1" ht="12" customHeight="1">
      <c r="A149" s="672">
        <v>43</v>
      </c>
      <c r="B149" s="675"/>
      <c r="C149" s="693"/>
      <c r="D149" s="681" t="s">
        <v>628</v>
      </c>
      <c r="E149" s="517"/>
      <c r="F149" s="684"/>
      <c r="G149" s="685"/>
      <c r="H149" s="518" t="s">
        <v>629</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90">
        <f t="shared" ref="AN149" si="203">IF(LEFT($AN$1,6)="共同生活援助",SUM(I150:AM150),SUM(I150:AM151))</f>
        <v>0</v>
      </c>
      <c r="AO149" s="662">
        <f>IF($AN$3="４週",AN149/4,AN149/(DAY(EOMONTH($I$21,0))/7))</f>
        <v>0</v>
      </c>
      <c r="AP149" s="665"/>
      <c r="AQ149" s="666"/>
      <c r="AR149" s="662" t="str">
        <f t="shared" ref="AR149" si="204">IF($AN$3="４週",AU150,AV150)</f>
        <v/>
      </c>
      <c r="AS149" s="662"/>
      <c r="AT149" s="671" t="str">
        <f t="shared" ref="AT149" si="205">IF(AX150&lt;=1.1,"",IF(AY150&lt;=1.1,"",IF(F149="","","勤務時間"&amp;CHAR(10)&amp;"OVER")))</f>
        <v/>
      </c>
      <c r="AU149" s="520" t="s">
        <v>630</v>
      </c>
      <c r="AV149" s="520" t="s">
        <v>631</v>
      </c>
      <c r="AX149" s="520" t="s">
        <v>632</v>
      </c>
      <c r="AY149" s="520" t="s">
        <v>633</v>
      </c>
    </row>
    <row r="150" spans="1:51" s="500" customFormat="1" ht="12" customHeight="1">
      <c r="A150" s="673"/>
      <c r="B150" s="676"/>
      <c r="C150" s="694"/>
      <c r="D150" s="682"/>
      <c r="E150" s="521"/>
      <c r="F150" s="686"/>
      <c r="G150" s="687"/>
      <c r="H150" s="522" t="s">
        <v>634</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91"/>
      <c r="AO150" s="663"/>
      <c r="AP150" s="667"/>
      <c r="AQ150" s="668"/>
      <c r="AR150" s="663"/>
      <c r="AS150" s="663"/>
      <c r="AT150" s="671"/>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4"/>
      <c r="B151" s="677"/>
      <c r="C151" s="695"/>
      <c r="D151" s="683"/>
      <c r="E151" s="521"/>
      <c r="F151" s="688"/>
      <c r="G151" s="689"/>
      <c r="H151" s="525" t="s">
        <v>635</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92"/>
      <c r="AO151" s="664"/>
      <c r="AP151" s="669"/>
      <c r="AQ151" s="670"/>
      <c r="AR151" s="664"/>
      <c r="AS151" s="664"/>
      <c r="AT151" s="671"/>
      <c r="AU151" s="527"/>
      <c r="AV151" s="527"/>
      <c r="AX151" s="527"/>
      <c r="AY151" s="527"/>
    </row>
    <row r="152" spans="1:51" s="500" customFormat="1" ht="12" customHeight="1">
      <c r="A152" s="672">
        <v>44</v>
      </c>
      <c r="B152" s="675"/>
      <c r="C152" s="693"/>
      <c r="D152" s="681" t="s">
        <v>628</v>
      </c>
      <c r="E152" s="517"/>
      <c r="F152" s="684"/>
      <c r="G152" s="685"/>
      <c r="H152" s="518" t="s">
        <v>629</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90">
        <f t="shared" ref="AN152" si="208">IF(LEFT($AN$1,6)="共同生活援助",SUM(I153:AM153),SUM(I153:AM154))</f>
        <v>0</v>
      </c>
      <c r="AO152" s="662">
        <f>IF($AN$3="４週",AN152/4,AN152/(DAY(EOMONTH($I$21,0))/7))</f>
        <v>0</v>
      </c>
      <c r="AP152" s="665"/>
      <c r="AQ152" s="666"/>
      <c r="AR152" s="662" t="str">
        <f t="shared" ref="AR152" si="209">IF($AN$3="４週",AU153,AV153)</f>
        <v/>
      </c>
      <c r="AS152" s="662"/>
      <c r="AT152" s="671" t="str">
        <f t="shared" ref="AT152" si="210">IF(AX153&lt;=1.1,"",IF(AY153&lt;=1.1,"",IF(F152="","","勤務時間"&amp;CHAR(10)&amp;"OVER")))</f>
        <v/>
      </c>
      <c r="AU152" s="520" t="s">
        <v>630</v>
      </c>
      <c r="AV152" s="520" t="s">
        <v>631</v>
      </c>
      <c r="AX152" s="520" t="s">
        <v>632</v>
      </c>
      <c r="AY152" s="520" t="s">
        <v>633</v>
      </c>
    </row>
    <row r="153" spans="1:51" s="500" customFormat="1" ht="12" customHeight="1">
      <c r="A153" s="673"/>
      <c r="B153" s="676"/>
      <c r="C153" s="694"/>
      <c r="D153" s="682"/>
      <c r="E153" s="521"/>
      <c r="F153" s="686"/>
      <c r="G153" s="687"/>
      <c r="H153" s="522" t="s">
        <v>634</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91"/>
      <c r="AO153" s="663"/>
      <c r="AP153" s="667"/>
      <c r="AQ153" s="668"/>
      <c r="AR153" s="663"/>
      <c r="AS153" s="663"/>
      <c r="AT153" s="671"/>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4"/>
      <c r="B154" s="677"/>
      <c r="C154" s="695"/>
      <c r="D154" s="683"/>
      <c r="E154" s="521"/>
      <c r="F154" s="688"/>
      <c r="G154" s="689"/>
      <c r="H154" s="525" t="s">
        <v>635</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92"/>
      <c r="AO154" s="664"/>
      <c r="AP154" s="669"/>
      <c r="AQ154" s="670"/>
      <c r="AR154" s="664"/>
      <c r="AS154" s="664"/>
      <c r="AT154" s="671"/>
      <c r="AU154" s="527"/>
      <c r="AV154" s="527"/>
      <c r="AX154" s="527"/>
      <c r="AY154" s="527"/>
    </row>
    <row r="155" spans="1:51" s="500" customFormat="1" ht="12" customHeight="1">
      <c r="A155" s="672">
        <v>45</v>
      </c>
      <c r="B155" s="675"/>
      <c r="C155" s="693"/>
      <c r="D155" s="681" t="s">
        <v>628</v>
      </c>
      <c r="E155" s="517"/>
      <c r="F155" s="684"/>
      <c r="G155" s="685"/>
      <c r="H155" s="518" t="s">
        <v>629</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90">
        <f t="shared" ref="AN155" si="213">IF(LEFT($AN$1,6)="共同生活援助",SUM(I156:AM156),SUM(I156:AM157))</f>
        <v>0</v>
      </c>
      <c r="AO155" s="662">
        <f>IF($AN$3="４週",AN155/4,AN155/(DAY(EOMONTH($I$21,0))/7))</f>
        <v>0</v>
      </c>
      <c r="AP155" s="665"/>
      <c r="AQ155" s="666"/>
      <c r="AR155" s="662" t="str">
        <f t="shared" ref="AR155" si="214">IF($AN$3="４週",AU156,AV156)</f>
        <v/>
      </c>
      <c r="AS155" s="662"/>
      <c r="AT155" s="671" t="str">
        <f t="shared" ref="AT155" si="215">IF(AX156&lt;=1.1,"",IF(AY156&lt;=1.1,"",IF(F155="","","勤務時間"&amp;CHAR(10)&amp;"OVER")))</f>
        <v/>
      </c>
      <c r="AU155" s="520" t="s">
        <v>630</v>
      </c>
      <c r="AV155" s="520" t="s">
        <v>631</v>
      </c>
      <c r="AX155" s="520" t="s">
        <v>632</v>
      </c>
      <c r="AY155" s="520" t="s">
        <v>633</v>
      </c>
    </row>
    <row r="156" spans="1:51" s="500" customFormat="1" ht="12" customHeight="1">
      <c r="A156" s="673"/>
      <c r="B156" s="676"/>
      <c r="C156" s="694"/>
      <c r="D156" s="682"/>
      <c r="E156" s="521"/>
      <c r="F156" s="686"/>
      <c r="G156" s="687"/>
      <c r="H156" s="522" t="s">
        <v>634</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91"/>
      <c r="AO156" s="663"/>
      <c r="AP156" s="667"/>
      <c r="AQ156" s="668"/>
      <c r="AR156" s="663"/>
      <c r="AS156" s="663"/>
      <c r="AT156" s="671"/>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4"/>
      <c r="B157" s="677"/>
      <c r="C157" s="695"/>
      <c r="D157" s="683"/>
      <c r="E157" s="521"/>
      <c r="F157" s="688"/>
      <c r="G157" s="689"/>
      <c r="H157" s="525" t="s">
        <v>635</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92"/>
      <c r="AO157" s="664"/>
      <c r="AP157" s="669"/>
      <c r="AQ157" s="670"/>
      <c r="AR157" s="664"/>
      <c r="AS157" s="664"/>
      <c r="AT157" s="671"/>
      <c r="AU157" s="527"/>
      <c r="AV157" s="527"/>
      <c r="AX157" s="527"/>
      <c r="AY157" s="527"/>
    </row>
    <row r="158" spans="1:51" s="500" customFormat="1" ht="12" customHeight="1">
      <c r="A158" s="672">
        <v>46</v>
      </c>
      <c r="B158" s="675"/>
      <c r="C158" s="693"/>
      <c r="D158" s="681" t="s">
        <v>628</v>
      </c>
      <c r="E158" s="517"/>
      <c r="F158" s="684"/>
      <c r="G158" s="685"/>
      <c r="H158" s="518" t="s">
        <v>629</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90">
        <f t="shared" ref="AN158" si="218">IF(LEFT($AN$1,6)="共同生活援助",SUM(I159:AM159),SUM(I159:AM160))</f>
        <v>0</v>
      </c>
      <c r="AO158" s="662">
        <f>IF($AN$3="４週",AN158/4,AN158/(DAY(EOMONTH($I$21,0))/7))</f>
        <v>0</v>
      </c>
      <c r="AP158" s="665"/>
      <c r="AQ158" s="666"/>
      <c r="AR158" s="662" t="str">
        <f t="shared" ref="AR158" si="219">IF($AN$3="４週",AU159,AV159)</f>
        <v/>
      </c>
      <c r="AS158" s="662"/>
      <c r="AT158" s="671" t="str">
        <f t="shared" ref="AT158" si="220">IF(AX159&lt;=1.1,"",IF(AY159&lt;=1.1,"",IF(F158="","","勤務時間"&amp;CHAR(10)&amp;"OVER")))</f>
        <v/>
      </c>
      <c r="AU158" s="520" t="s">
        <v>630</v>
      </c>
      <c r="AV158" s="520" t="s">
        <v>631</v>
      </c>
      <c r="AX158" s="520" t="s">
        <v>632</v>
      </c>
      <c r="AY158" s="520" t="s">
        <v>633</v>
      </c>
    </row>
    <row r="159" spans="1:51" s="500" customFormat="1" ht="12" customHeight="1">
      <c r="A159" s="673"/>
      <c r="B159" s="676"/>
      <c r="C159" s="694"/>
      <c r="D159" s="682"/>
      <c r="E159" s="521"/>
      <c r="F159" s="686"/>
      <c r="G159" s="687"/>
      <c r="H159" s="522" t="s">
        <v>634</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91"/>
      <c r="AO159" s="663"/>
      <c r="AP159" s="667"/>
      <c r="AQ159" s="668"/>
      <c r="AR159" s="663"/>
      <c r="AS159" s="663"/>
      <c r="AT159" s="671"/>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4"/>
      <c r="B160" s="677"/>
      <c r="C160" s="695"/>
      <c r="D160" s="683"/>
      <c r="E160" s="521"/>
      <c r="F160" s="688"/>
      <c r="G160" s="689"/>
      <c r="H160" s="525" t="s">
        <v>635</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92"/>
      <c r="AO160" s="664"/>
      <c r="AP160" s="669"/>
      <c r="AQ160" s="670"/>
      <c r="AR160" s="664"/>
      <c r="AS160" s="664"/>
      <c r="AT160" s="671"/>
      <c r="AU160" s="527"/>
      <c r="AV160" s="527"/>
      <c r="AX160" s="527"/>
      <c r="AY160" s="527"/>
    </row>
    <row r="161" spans="1:51" s="500" customFormat="1" ht="12" customHeight="1">
      <c r="A161" s="672">
        <v>47</v>
      </c>
      <c r="B161" s="675"/>
      <c r="C161" s="693"/>
      <c r="D161" s="681" t="s">
        <v>628</v>
      </c>
      <c r="E161" s="517"/>
      <c r="F161" s="684"/>
      <c r="G161" s="685"/>
      <c r="H161" s="518" t="s">
        <v>629</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90">
        <f t="shared" ref="AN161" si="223">IF(LEFT($AN$1,6)="共同生活援助",SUM(I162:AM162),SUM(I162:AM163))</f>
        <v>0</v>
      </c>
      <c r="AO161" s="662">
        <f>IF($AN$3="４週",AN161/4,AN161/(DAY(EOMONTH($I$21,0))/7))</f>
        <v>0</v>
      </c>
      <c r="AP161" s="665"/>
      <c r="AQ161" s="666"/>
      <c r="AR161" s="662" t="str">
        <f t="shared" ref="AR161" si="224">IF($AN$3="４週",AU162,AV162)</f>
        <v/>
      </c>
      <c r="AS161" s="662"/>
      <c r="AT161" s="671" t="str">
        <f t="shared" ref="AT161" si="225">IF(AX162&lt;=1.1,"",IF(AY162&lt;=1.1,"",IF(F161="","","勤務時間"&amp;CHAR(10)&amp;"OVER")))</f>
        <v/>
      </c>
      <c r="AU161" s="520" t="s">
        <v>630</v>
      </c>
      <c r="AV161" s="520" t="s">
        <v>631</v>
      </c>
      <c r="AX161" s="520" t="s">
        <v>632</v>
      </c>
      <c r="AY161" s="520" t="s">
        <v>633</v>
      </c>
    </row>
    <row r="162" spans="1:51" s="500" customFormat="1" ht="12" customHeight="1">
      <c r="A162" s="673"/>
      <c r="B162" s="676"/>
      <c r="C162" s="694"/>
      <c r="D162" s="682"/>
      <c r="E162" s="521"/>
      <c r="F162" s="686"/>
      <c r="G162" s="687"/>
      <c r="H162" s="522" t="s">
        <v>634</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91"/>
      <c r="AO162" s="663"/>
      <c r="AP162" s="667"/>
      <c r="AQ162" s="668"/>
      <c r="AR162" s="663"/>
      <c r="AS162" s="663"/>
      <c r="AT162" s="671"/>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4"/>
      <c r="B163" s="677"/>
      <c r="C163" s="695"/>
      <c r="D163" s="683"/>
      <c r="E163" s="521"/>
      <c r="F163" s="688"/>
      <c r="G163" s="689"/>
      <c r="H163" s="525" t="s">
        <v>635</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92"/>
      <c r="AO163" s="664"/>
      <c r="AP163" s="669"/>
      <c r="AQ163" s="670"/>
      <c r="AR163" s="664"/>
      <c r="AS163" s="664"/>
      <c r="AT163" s="671"/>
      <c r="AU163" s="527"/>
      <c r="AV163" s="527"/>
      <c r="AX163" s="527"/>
      <c r="AY163" s="527"/>
    </row>
    <row r="164" spans="1:51" s="500" customFormat="1" ht="12" customHeight="1">
      <c r="A164" s="672">
        <v>48</v>
      </c>
      <c r="B164" s="675"/>
      <c r="C164" s="678"/>
      <c r="D164" s="681" t="s">
        <v>628</v>
      </c>
      <c r="E164" s="517"/>
      <c r="F164" s="684"/>
      <c r="G164" s="685"/>
      <c r="H164" s="518" t="s">
        <v>629</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90">
        <f t="shared" ref="AN164" si="228">IF(LEFT($AN$1,6)="共同生活援助",SUM(I165:AM165),SUM(I165:AM166))</f>
        <v>0</v>
      </c>
      <c r="AO164" s="662">
        <f>IF($AN$3="４週",AN164/4,AN164/(DAY(EOMONTH($I$21,0))/7))</f>
        <v>0</v>
      </c>
      <c r="AP164" s="665"/>
      <c r="AQ164" s="666"/>
      <c r="AR164" s="662" t="str">
        <f t="shared" ref="AR164" si="229">IF($AN$3="４週",AU165,AV165)</f>
        <v/>
      </c>
      <c r="AS164" s="662"/>
      <c r="AT164" s="671" t="str">
        <f t="shared" ref="AT164" si="230">IF(AX165&lt;=1.1,"",IF(AY165&lt;=1.1,"",IF(F164="","","勤務時間"&amp;CHAR(10)&amp;"OVER")))</f>
        <v/>
      </c>
      <c r="AU164" s="520" t="s">
        <v>630</v>
      </c>
      <c r="AV164" s="520" t="s">
        <v>631</v>
      </c>
      <c r="AX164" s="520" t="s">
        <v>632</v>
      </c>
      <c r="AY164" s="520" t="s">
        <v>633</v>
      </c>
    </row>
    <row r="165" spans="1:51" s="500" customFormat="1" ht="12" customHeight="1">
      <c r="A165" s="673"/>
      <c r="B165" s="676"/>
      <c r="C165" s="679"/>
      <c r="D165" s="682"/>
      <c r="E165" s="521"/>
      <c r="F165" s="686"/>
      <c r="G165" s="687"/>
      <c r="H165" s="522" t="s">
        <v>634</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91"/>
      <c r="AO165" s="663"/>
      <c r="AP165" s="667"/>
      <c r="AQ165" s="668"/>
      <c r="AR165" s="663"/>
      <c r="AS165" s="663"/>
      <c r="AT165" s="671"/>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4"/>
      <c r="B166" s="677"/>
      <c r="C166" s="680"/>
      <c r="D166" s="683"/>
      <c r="E166" s="521"/>
      <c r="F166" s="688"/>
      <c r="G166" s="689"/>
      <c r="H166" s="525" t="s">
        <v>635</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92"/>
      <c r="AO166" s="664"/>
      <c r="AP166" s="669"/>
      <c r="AQ166" s="670"/>
      <c r="AR166" s="664"/>
      <c r="AS166" s="664"/>
      <c r="AT166" s="671"/>
      <c r="AU166" s="527"/>
      <c r="AV166" s="527"/>
      <c r="AX166" s="527"/>
      <c r="AY166" s="527"/>
    </row>
    <row r="167" spans="1:51" s="500" customFormat="1" ht="12" customHeight="1">
      <c r="A167" s="672">
        <v>49</v>
      </c>
      <c r="B167" s="675"/>
      <c r="C167" s="693"/>
      <c r="D167" s="681" t="s">
        <v>628</v>
      </c>
      <c r="E167" s="517"/>
      <c r="F167" s="684"/>
      <c r="G167" s="685"/>
      <c r="H167" s="518" t="s">
        <v>629</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90">
        <f t="shared" ref="AN167" si="233">IF(LEFT($AN$1,6)="共同生活援助",SUM(I168:AM168),SUM(I168:AM169))</f>
        <v>0</v>
      </c>
      <c r="AO167" s="662">
        <f>IF($AN$3="４週",AN167/4,AN167/(DAY(EOMONTH($I$21,0))/7))</f>
        <v>0</v>
      </c>
      <c r="AP167" s="665"/>
      <c r="AQ167" s="666"/>
      <c r="AR167" s="662" t="str">
        <f t="shared" ref="AR167" si="234">IF($AN$3="４週",AU168,AV168)</f>
        <v/>
      </c>
      <c r="AS167" s="662"/>
      <c r="AT167" s="671" t="str">
        <f t="shared" ref="AT167" si="235">IF(AX168&lt;=1.1,"",IF(AY168&lt;=1.1,"",IF(F167="","","勤務時間"&amp;CHAR(10)&amp;"OVER")))</f>
        <v/>
      </c>
      <c r="AU167" s="520" t="s">
        <v>630</v>
      </c>
      <c r="AV167" s="520" t="s">
        <v>631</v>
      </c>
      <c r="AX167" s="520" t="s">
        <v>632</v>
      </c>
      <c r="AY167" s="520" t="s">
        <v>633</v>
      </c>
    </row>
    <row r="168" spans="1:51" s="500" customFormat="1" ht="12" customHeight="1">
      <c r="A168" s="673"/>
      <c r="B168" s="676"/>
      <c r="C168" s="694"/>
      <c r="D168" s="682"/>
      <c r="E168" s="521"/>
      <c r="F168" s="686"/>
      <c r="G168" s="687"/>
      <c r="H168" s="522" t="s">
        <v>634</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91"/>
      <c r="AO168" s="663"/>
      <c r="AP168" s="667"/>
      <c r="AQ168" s="668"/>
      <c r="AR168" s="663"/>
      <c r="AS168" s="663"/>
      <c r="AT168" s="671"/>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4"/>
      <c r="B169" s="677"/>
      <c r="C169" s="695"/>
      <c r="D169" s="683"/>
      <c r="E169" s="521"/>
      <c r="F169" s="688"/>
      <c r="G169" s="689"/>
      <c r="H169" s="525" t="s">
        <v>635</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92"/>
      <c r="AO169" s="664"/>
      <c r="AP169" s="669"/>
      <c r="AQ169" s="670"/>
      <c r="AR169" s="664"/>
      <c r="AS169" s="664"/>
      <c r="AT169" s="671"/>
      <c r="AU169" s="527"/>
      <c r="AV169" s="527"/>
      <c r="AX169" s="527"/>
      <c r="AY169" s="527"/>
    </row>
    <row r="170" spans="1:51" s="500" customFormat="1" ht="12" customHeight="1">
      <c r="A170" s="672">
        <v>50</v>
      </c>
      <c r="B170" s="675"/>
      <c r="C170" s="693"/>
      <c r="D170" s="681" t="s">
        <v>628</v>
      </c>
      <c r="E170" s="517"/>
      <c r="F170" s="684"/>
      <c r="G170" s="685"/>
      <c r="H170" s="518" t="s">
        <v>629</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90">
        <f t="shared" ref="AN170" si="238">IF(LEFT($AN$1,6)="共同生活援助",SUM(I171:AM171),SUM(I171:AM172))</f>
        <v>0</v>
      </c>
      <c r="AO170" s="662">
        <f>IF($AN$3="４週",AN170/4,AN170/(DAY(EOMONTH($I$21,0))/7))</f>
        <v>0</v>
      </c>
      <c r="AP170" s="665"/>
      <c r="AQ170" s="666"/>
      <c r="AR170" s="662" t="str">
        <f t="shared" ref="AR170" si="239">IF($AN$3="４週",AU171,AV171)</f>
        <v/>
      </c>
      <c r="AS170" s="662"/>
      <c r="AT170" s="671" t="str">
        <f t="shared" ref="AT170" si="240">IF(AX171&lt;=1.1,"",IF(AY171&lt;=1.1,"",IF(F170="","","勤務時間"&amp;CHAR(10)&amp;"OVER")))</f>
        <v/>
      </c>
      <c r="AU170" s="520" t="s">
        <v>630</v>
      </c>
      <c r="AV170" s="520" t="s">
        <v>631</v>
      </c>
      <c r="AX170" s="520" t="s">
        <v>632</v>
      </c>
      <c r="AY170" s="520" t="s">
        <v>633</v>
      </c>
    </row>
    <row r="171" spans="1:51" s="500" customFormat="1" ht="12" customHeight="1">
      <c r="A171" s="673"/>
      <c r="B171" s="676"/>
      <c r="C171" s="694"/>
      <c r="D171" s="682"/>
      <c r="E171" s="521"/>
      <c r="F171" s="686"/>
      <c r="G171" s="687"/>
      <c r="H171" s="522" t="s">
        <v>634</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91"/>
      <c r="AO171" s="663"/>
      <c r="AP171" s="667"/>
      <c r="AQ171" s="668"/>
      <c r="AR171" s="663"/>
      <c r="AS171" s="663"/>
      <c r="AT171" s="671"/>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4"/>
      <c r="B172" s="677"/>
      <c r="C172" s="695"/>
      <c r="D172" s="683"/>
      <c r="E172" s="521"/>
      <c r="F172" s="688"/>
      <c r="G172" s="689"/>
      <c r="H172" s="525" t="s">
        <v>635</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92"/>
      <c r="AO172" s="664"/>
      <c r="AP172" s="669"/>
      <c r="AQ172" s="670"/>
      <c r="AR172" s="664"/>
      <c r="AS172" s="664"/>
      <c r="AT172" s="671"/>
      <c r="AU172" s="527"/>
      <c r="AV172" s="527"/>
      <c r="AX172" s="527"/>
      <c r="AY172" s="527"/>
    </row>
    <row r="173" spans="1:51" s="500" customFormat="1" ht="12" customHeight="1">
      <c r="A173" s="672">
        <v>51</v>
      </c>
      <c r="B173" s="675"/>
      <c r="C173" s="693"/>
      <c r="D173" s="681" t="s">
        <v>628</v>
      </c>
      <c r="E173" s="517"/>
      <c r="F173" s="684"/>
      <c r="G173" s="685"/>
      <c r="H173" s="518" t="s">
        <v>629</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90">
        <f t="shared" ref="AN173" si="243">IF(LEFT($AN$1,6)="共同生活援助",SUM(I174:AM174),SUM(I174:AM175))</f>
        <v>0</v>
      </c>
      <c r="AO173" s="662">
        <f>IF($AN$3="４週",AN173/4,AN173/(DAY(EOMONTH($I$21,0))/7))</f>
        <v>0</v>
      </c>
      <c r="AP173" s="665"/>
      <c r="AQ173" s="666"/>
      <c r="AR173" s="662" t="str">
        <f t="shared" ref="AR173" si="244">IF($AN$3="４週",AU174,AV174)</f>
        <v/>
      </c>
      <c r="AS173" s="662"/>
      <c r="AT173" s="671" t="str">
        <f t="shared" ref="AT173" si="245">IF(AX174&lt;=1.1,"",IF(AY174&lt;=1.1,"",IF(F173="","","勤務時間"&amp;CHAR(10)&amp;"OVER")))</f>
        <v/>
      </c>
      <c r="AU173" s="520" t="s">
        <v>630</v>
      </c>
      <c r="AV173" s="520" t="s">
        <v>631</v>
      </c>
      <c r="AX173" s="520" t="s">
        <v>632</v>
      </c>
      <c r="AY173" s="520" t="s">
        <v>633</v>
      </c>
    </row>
    <row r="174" spans="1:51" s="500" customFormat="1" ht="12" customHeight="1">
      <c r="A174" s="673"/>
      <c r="B174" s="676"/>
      <c r="C174" s="694"/>
      <c r="D174" s="682"/>
      <c r="E174" s="521"/>
      <c r="F174" s="686"/>
      <c r="G174" s="687"/>
      <c r="H174" s="522" t="s">
        <v>634</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91"/>
      <c r="AO174" s="663"/>
      <c r="AP174" s="667"/>
      <c r="AQ174" s="668"/>
      <c r="AR174" s="663"/>
      <c r="AS174" s="663"/>
      <c r="AT174" s="671"/>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4"/>
      <c r="B175" s="677"/>
      <c r="C175" s="695"/>
      <c r="D175" s="683"/>
      <c r="E175" s="521"/>
      <c r="F175" s="688"/>
      <c r="G175" s="689"/>
      <c r="H175" s="525" t="s">
        <v>635</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92"/>
      <c r="AO175" s="664"/>
      <c r="AP175" s="669"/>
      <c r="AQ175" s="670"/>
      <c r="AR175" s="664"/>
      <c r="AS175" s="664"/>
      <c r="AT175" s="671"/>
      <c r="AU175" s="527"/>
      <c r="AV175" s="527"/>
      <c r="AX175" s="527"/>
      <c r="AY175" s="527"/>
    </row>
    <row r="176" spans="1:51" s="500" customFormat="1" ht="12" customHeight="1">
      <c r="A176" s="672">
        <v>52</v>
      </c>
      <c r="B176" s="675"/>
      <c r="C176" s="693"/>
      <c r="D176" s="681" t="s">
        <v>628</v>
      </c>
      <c r="E176" s="517"/>
      <c r="F176" s="684"/>
      <c r="G176" s="685"/>
      <c r="H176" s="518" t="s">
        <v>629</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90">
        <f t="shared" ref="AN176" si="248">IF(LEFT($AN$1,6)="共同生活援助",SUM(I177:AM177),SUM(I177:AM178))</f>
        <v>0</v>
      </c>
      <c r="AO176" s="662">
        <f>IF($AN$3="４週",AN176/4,AN176/(DAY(EOMONTH($I$21,0))/7))</f>
        <v>0</v>
      </c>
      <c r="AP176" s="665"/>
      <c r="AQ176" s="666"/>
      <c r="AR176" s="662" t="str">
        <f t="shared" ref="AR176" si="249">IF($AN$3="４週",AU177,AV177)</f>
        <v/>
      </c>
      <c r="AS176" s="662"/>
      <c r="AT176" s="671" t="str">
        <f t="shared" ref="AT176" si="250">IF(AX177&lt;=1.1,"",IF(AY177&lt;=1.1,"",IF(F176="","","勤務時間"&amp;CHAR(10)&amp;"OVER")))</f>
        <v/>
      </c>
      <c r="AU176" s="520" t="s">
        <v>630</v>
      </c>
      <c r="AV176" s="520" t="s">
        <v>631</v>
      </c>
      <c r="AX176" s="520" t="s">
        <v>632</v>
      </c>
      <c r="AY176" s="520" t="s">
        <v>633</v>
      </c>
    </row>
    <row r="177" spans="1:51" s="500" customFormat="1" ht="12" customHeight="1">
      <c r="A177" s="673"/>
      <c r="B177" s="676"/>
      <c r="C177" s="694"/>
      <c r="D177" s="682"/>
      <c r="E177" s="521"/>
      <c r="F177" s="686"/>
      <c r="G177" s="687"/>
      <c r="H177" s="522" t="s">
        <v>634</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91"/>
      <c r="AO177" s="663"/>
      <c r="AP177" s="667"/>
      <c r="AQ177" s="668"/>
      <c r="AR177" s="663"/>
      <c r="AS177" s="663"/>
      <c r="AT177" s="671"/>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4"/>
      <c r="B178" s="677"/>
      <c r="C178" s="695"/>
      <c r="D178" s="683"/>
      <c r="E178" s="521"/>
      <c r="F178" s="688"/>
      <c r="G178" s="689"/>
      <c r="H178" s="525" t="s">
        <v>635</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92"/>
      <c r="AO178" s="664"/>
      <c r="AP178" s="669"/>
      <c r="AQ178" s="670"/>
      <c r="AR178" s="664"/>
      <c r="AS178" s="664"/>
      <c r="AT178" s="671"/>
      <c r="AU178" s="527"/>
      <c r="AV178" s="527"/>
      <c r="AX178" s="527"/>
      <c r="AY178" s="527"/>
    </row>
    <row r="179" spans="1:51" s="500" customFormat="1" ht="12" customHeight="1">
      <c r="A179" s="672">
        <v>53</v>
      </c>
      <c r="B179" s="675"/>
      <c r="C179" s="693"/>
      <c r="D179" s="681" t="s">
        <v>628</v>
      </c>
      <c r="E179" s="517"/>
      <c r="F179" s="684"/>
      <c r="G179" s="685"/>
      <c r="H179" s="518" t="s">
        <v>629</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90">
        <f t="shared" ref="AN179" si="251">IF(LEFT($AN$1,6)="共同生活援助",SUM(I180:AM180),SUM(I180:AM181))</f>
        <v>0</v>
      </c>
      <c r="AO179" s="662">
        <f>IF($AN$3="４週",AN179/4,AN179/(DAY(EOMONTH($I$21,0))/7))</f>
        <v>0</v>
      </c>
      <c r="AP179" s="665"/>
      <c r="AQ179" s="666"/>
      <c r="AR179" s="662" t="str">
        <f t="shared" ref="AR179" si="252">IF($AN$3="４週",AU180,AV180)</f>
        <v/>
      </c>
      <c r="AS179" s="662"/>
      <c r="AT179" s="671" t="str">
        <f t="shared" ref="AT179" si="253">IF(AX180&lt;=1.1,"",IF(AY180&lt;=1.1,"",IF(F179="","","勤務時間"&amp;CHAR(10)&amp;"OVER")))</f>
        <v/>
      </c>
      <c r="AU179" s="520" t="s">
        <v>630</v>
      </c>
      <c r="AV179" s="520" t="s">
        <v>631</v>
      </c>
      <c r="AX179" s="520" t="s">
        <v>632</v>
      </c>
      <c r="AY179" s="520" t="s">
        <v>633</v>
      </c>
    </row>
    <row r="180" spans="1:51" s="500" customFormat="1" ht="12" customHeight="1">
      <c r="A180" s="673"/>
      <c r="B180" s="676"/>
      <c r="C180" s="694"/>
      <c r="D180" s="682"/>
      <c r="E180" s="521"/>
      <c r="F180" s="686"/>
      <c r="G180" s="687"/>
      <c r="H180" s="522" t="s">
        <v>634</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91"/>
      <c r="AO180" s="663"/>
      <c r="AP180" s="667"/>
      <c r="AQ180" s="668"/>
      <c r="AR180" s="663"/>
      <c r="AS180" s="663"/>
      <c r="AT180" s="671"/>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4"/>
      <c r="B181" s="677"/>
      <c r="C181" s="695"/>
      <c r="D181" s="683"/>
      <c r="E181" s="521"/>
      <c r="F181" s="688"/>
      <c r="G181" s="689"/>
      <c r="H181" s="525" t="s">
        <v>635</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92"/>
      <c r="AO181" s="664"/>
      <c r="AP181" s="669"/>
      <c r="AQ181" s="670"/>
      <c r="AR181" s="664"/>
      <c r="AS181" s="664"/>
      <c r="AT181" s="671"/>
      <c r="AU181" s="527"/>
      <c r="AV181" s="527"/>
      <c r="AX181" s="527"/>
      <c r="AY181" s="527"/>
    </row>
    <row r="182" spans="1:51" s="500" customFormat="1" ht="12" customHeight="1">
      <c r="A182" s="672">
        <v>54</v>
      </c>
      <c r="B182" s="675"/>
      <c r="C182" s="693"/>
      <c r="D182" s="681" t="s">
        <v>628</v>
      </c>
      <c r="E182" s="517"/>
      <c r="F182" s="684"/>
      <c r="G182" s="685"/>
      <c r="H182" s="518" t="s">
        <v>629</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90">
        <f t="shared" ref="AN182" si="256">IF(LEFT($AN$1,6)="共同生活援助",SUM(I183:AM183),SUM(I183:AM184))</f>
        <v>0</v>
      </c>
      <c r="AO182" s="662">
        <f>IF($AN$3="４週",AN182/4,AN182/(DAY(EOMONTH($I$21,0))/7))</f>
        <v>0</v>
      </c>
      <c r="AP182" s="665"/>
      <c r="AQ182" s="666"/>
      <c r="AR182" s="662" t="str">
        <f t="shared" ref="AR182" si="257">IF($AN$3="４週",AU183,AV183)</f>
        <v/>
      </c>
      <c r="AS182" s="662"/>
      <c r="AT182" s="671" t="str">
        <f t="shared" ref="AT182" si="258">IF(AX183&lt;=1.1,"",IF(AY183&lt;=1.1,"",IF(F182="","","勤務時間"&amp;CHAR(10)&amp;"OVER")))</f>
        <v/>
      </c>
      <c r="AU182" s="520" t="s">
        <v>630</v>
      </c>
      <c r="AV182" s="520" t="s">
        <v>631</v>
      </c>
      <c r="AX182" s="520" t="s">
        <v>632</v>
      </c>
      <c r="AY182" s="520" t="s">
        <v>633</v>
      </c>
    </row>
    <row r="183" spans="1:51" s="500" customFormat="1" ht="12" customHeight="1">
      <c r="A183" s="673"/>
      <c r="B183" s="676"/>
      <c r="C183" s="694"/>
      <c r="D183" s="682"/>
      <c r="E183" s="521"/>
      <c r="F183" s="686"/>
      <c r="G183" s="687"/>
      <c r="H183" s="522" t="s">
        <v>634</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91"/>
      <c r="AO183" s="663"/>
      <c r="AP183" s="667"/>
      <c r="AQ183" s="668"/>
      <c r="AR183" s="663"/>
      <c r="AS183" s="663"/>
      <c r="AT183" s="671"/>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4"/>
      <c r="B184" s="677"/>
      <c r="C184" s="695"/>
      <c r="D184" s="683"/>
      <c r="E184" s="521"/>
      <c r="F184" s="688"/>
      <c r="G184" s="689"/>
      <c r="H184" s="525" t="s">
        <v>635</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92"/>
      <c r="AO184" s="664"/>
      <c r="AP184" s="669"/>
      <c r="AQ184" s="670"/>
      <c r="AR184" s="664"/>
      <c r="AS184" s="664"/>
      <c r="AT184" s="671"/>
      <c r="AU184" s="527"/>
      <c r="AV184" s="527"/>
      <c r="AX184" s="527"/>
      <c r="AY184" s="527"/>
    </row>
    <row r="185" spans="1:51" s="500" customFormat="1" ht="12" customHeight="1">
      <c r="A185" s="672">
        <v>55</v>
      </c>
      <c r="B185" s="675"/>
      <c r="C185" s="693"/>
      <c r="D185" s="681" t="s">
        <v>628</v>
      </c>
      <c r="E185" s="517"/>
      <c r="F185" s="684"/>
      <c r="G185" s="685"/>
      <c r="H185" s="518" t="s">
        <v>629</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90">
        <f t="shared" ref="AN185" si="261">IF(LEFT($AN$1,6)="共同生活援助",SUM(I186:AM186),SUM(I186:AM187))</f>
        <v>0</v>
      </c>
      <c r="AO185" s="662">
        <f>IF($AN$3="４週",AN185/4,AN185/(DAY(EOMONTH($I$21,0))/7))</f>
        <v>0</v>
      </c>
      <c r="AP185" s="665"/>
      <c r="AQ185" s="666"/>
      <c r="AR185" s="662" t="str">
        <f t="shared" ref="AR185" si="262">IF($AN$3="４週",AU186,AV186)</f>
        <v/>
      </c>
      <c r="AS185" s="662"/>
      <c r="AT185" s="671" t="str">
        <f t="shared" ref="AT185" si="263">IF(AX186&lt;=1.1,"",IF(AY186&lt;=1.1,"",IF(F185="","","勤務時間"&amp;CHAR(10)&amp;"OVER")))</f>
        <v/>
      </c>
      <c r="AU185" s="520" t="s">
        <v>630</v>
      </c>
      <c r="AV185" s="520" t="s">
        <v>631</v>
      </c>
      <c r="AX185" s="520" t="s">
        <v>632</v>
      </c>
      <c r="AY185" s="520" t="s">
        <v>633</v>
      </c>
    </row>
    <row r="186" spans="1:51" s="500" customFormat="1" ht="12" customHeight="1">
      <c r="A186" s="673"/>
      <c r="B186" s="676"/>
      <c r="C186" s="694"/>
      <c r="D186" s="682"/>
      <c r="E186" s="521"/>
      <c r="F186" s="686"/>
      <c r="G186" s="687"/>
      <c r="H186" s="522" t="s">
        <v>634</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91"/>
      <c r="AO186" s="663"/>
      <c r="AP186" s="667"/>
      <c r="AQ186" s="668"/>
      <c r="AR186" s="663"/>
      <c r="AS186" s="663"/>
      <c r="AT186" s="671"/>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4"/>
      <c r="B187" s="677"/>
      <c r="C187" s="695"/>
      <c r="D187" s="683"/>
      <c r="E187" s="521"/>
      <c r="F187" s="688"/>
      <c r="G187" s="689"/>
      <c r="H187" s="525" t="s">
        <v>635</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92"/>
      <c r="AO187" s="664"/>
      <c r="AP187" s="669"/>
      <c r="AQ187" s="670"/>
      <c r="AR187" s="664"/>
      <c r="AS187" s="664"/>
      <c r="AT187" s="671"/>
      <c r="AU187" s="527"/>
      <c r="AV187" s="527"/>
      <c r="AX187" s="527"/>
      <c r="AY187" s="527"/>
    </row>
    <row r="188" spans="1:51" s="500" customFormat="1" ht="12" customHeight="1">
      <c r="A188" s="672">
        <v>56</v>
      </c>
      <c r="B188" s="675"/>
      <c r="C188" s="693"/>
      <c r="D188" s="681" t="s">
        <v>628</v>
      </c>
      <c r="E188" s="517"/>
      <c r="F188" s="684"/>
      <c r="G188" s="685"/>
      <c r="H188" s="518" t="s">
        <v>629</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90">
        <f t="shared" ref="AN188" si="266">IF(LEFT($AN$1,6)="共同生活援助",SUM(I189:AM189),SUM(I189:AM190))</f>
        <v>0</v>
      </c>
      <c r="AO188" s="662">
        <f>IF($AN$3="４週",AN188/4,AN188/(DAY(EOMONTH($I$21,0))/7))</f>
        <v>0</v>
      </c>
      <c r="AP188" s="665"/>
      <c r="AQ188" s="666"/>
      <c r="AR188" s="662" t="str">
        <f t="shared" ref="AR188" si="267">IF($AN$3="４週",AU189,AV189)</f>
        <v/>
      </c>
      <c r="AS188" s="662"/>
      <c r="AT188" s="671" t="str">
        <f t="shared" ref="AT188" si="268">IF(AX189&lt;=1.1,"",IF(AY189&lt;=1.1,"",IF(F188="","","勤務時間"&amp;CHAR(10)&amp;"OVER")))</f>
        <v/>
      </c>
      <c r="AU188" s="520" t="s">
        <v>630</v>
      </c>
      <c r="AV188" s="520" t="s">
        <v>631</v>
      </c>
      <c r="AX188" s="520" t="s">
        <v>632</v>
      </c>
      <c r="AY188" s="520" t="s">
        <v>633</v>
      </c>
    </row>
    <row r="189" spans="1:51" s="500" customFormat="1" ht="12" customHeight="1">
      <c r="A189" s="673"/>
      <c r="B189" s="676"/>
      <c r="C189" s="694"/>
      <c r="D189" s="682"/>
      <c r="E189" s="521"/>
      <c r="F189" s="686"/>
      <c r="G189" s="687"/>
      <c r="H189" s="522" t="s">
        <v>634</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91"/>
      <c r="AO189" s="663"/>
      <c r="AP189" s="667"/>
      <c r="AQ189" s="668"/>
      <c r="AR189" s="663"/>
      <c r="AS189" s="663"/>
      <c r="AT189" s="671"/>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4"/>
      <c r="B190" s="677"/>
      <c r="C190" s="695"/>
      <c r="D190" s="683"/>
      <c r="E190" s="521"/>
      <c r="F190" s="688"/>
      <c r="G190" s="689"/>
      <c r="H190" s="525" t="s">
        <v>635</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92"/>
      <c r="AO190" s="664"/>
      <c r="AP190" s="669"/>
      <c r="AQ190" s="670"/>
      <c r="AR190" s="664"/>
      <c r="AS190" s="664"/>
      <c r="AT190" s="671"/>
      <c r="AU190" s="527"/>
      <c r="AV190" s="527"/>
      <c r="AX190" s="527"/>
      <c r="AY190" s="527"/>
    </row>
    <row r="191" spans="1:51" s="500" customFormat="1" ht="12" customHeight="1">
      <c r="A191" s="672">
        <v>57</v>
      </c>
      <c r="B191" s="675"/>
      <c r="C191" s="693"/>
      <c r="D191" s="681" t="s">
        <v>628</v>
      </c>
      <c r="E191" s="517"/>
      <c r="F191" s="684"/>
      <c r="G191" s="685"/>
      <c r="H191" s="518" t="s">
        <v>629</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90">
        <f t="shared" ref="AN191" si="271">IF(LEFT($AN$1,6)="共同生活援助",SUM(I192:AM192),SUM(I192:AM193))</f>
        <v>0</v>
      </c>
      <c r="AO191" s="662">
        <f>IF($AN$3="４週",AN191/4,AN191/(DAY(EOMONTH($I$21,0))/7))</f>
        <v>0</v>
      </c>
      <c r="AP191" s="665"/>
      <c r="AQ191" s="666"/>
      <c r="AR191" s="662" t="str">
        <f t="shared" ref="AR191" si="272">IF($AN$3="４週",AU192,AV192)</f>
        <v/>
      </c>
      <c r="AS191" s="662"/>
      <c r="AT191" s="671" t="str">
        <f t="shared" ref="AT191" si="273">IF(AX192&lt;=1.1,"",IF(AY192&lt;=1.1,"",IF(F191="","","勤務時間"&amp;CHAR(10)&amp;"OVER")))</f>
        <v/>
      </c>
      <c r="AU191" s="520" t="s">
        <v>630</v>
      </c>
      <c r="AV191" s="520" t="s">
        <v>631</v>
      </c>
      <c r="AX191" s="520" t="s">
        <v>632</v>
      </c>
      <c r="AY191" s="520" t="s">
        <v>633</v>
      </c>
    </row>
    <row r="192" spans="1:51" s="500" customFormat="1" ht="12" customHeight="1">
      <c r="A192" s="673"/>
      <c r="B192" s="676"/>
      <c r="C192" s="694"/>
      <c r="D192" s="682"/>
      <c r="E192" s="521"/>
      <c r="F192" s="686"/>
      <c r="G192" s="687"/>
      <c r="H192" s="522" t="s">
        <v>634</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91"/>
      <c r="AO192" s="663"/>
      <c r="AP192" s="667"/>
      <c r="AQ192" s="668"/>
      <c r="AR192" s="663"/>
      <c r="AS192" s="663"/>
      <c r="AT192" s="671"/>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4"/>
      <c r="B193" s="677"/>
      <c r="C193" s="695"/>
      <c r="D193" s="683"/>
      <c r="E193" s="521"/>
      <c r="F193" s="688"/>
      <c r="G193" s="689"/>
      <c r="H193" s="525" t="s">
        <v>635</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92"/>
      <c r="AO193" s="664"/>
      <c r="AP193" s="669"/>
      <c r="AQ193" s="670"/>
      <c r="AR193" s="664"/>
      <c r="AS193" s="664"/>
      <c r="AT193" s="671"/>
      <c r="AU193" s="527"/>
      <c r="AV193" s="527"/>
      <c r="AX193" s="527"/>
      <c r="AY193" s="527"/>
    </row>
    <row r="194" spans="1:51" s="500" customFormat="1" ht="12" customHeight="1">
      <c r="A194" s="672">
        <v>58</v>
      </c>
      <c r="B194" s="675"/>
      <c r="C194" s="693"/>
      <c r="D194" s="681" t="s">
        <v>628</v>
      </c>
      <c r="E194" s="517"/>
      <c r="F194" s="684"/>
      <c r="G194" s="685"/>
      <c r="H194" s="518" t="s">
        <v>629</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90">
        <f t="shared" ref="AN194" si="276">IF(LEFT($AN$1,6)="共同生活援助",SUM(I195:AM195),SUM(I195:AM196))</f>
        <v>0</v>
      </c>
      <c r="AO194" s="662">
        <f>IF($AN$3="４週",AN194/4,AN194/(DAY(EOMONTH($I$21,0))/7))</f>
        <v>0</v>
      </c>
      <c r="AP194" s="665"/>
      <c r="AQ194" s="666"/>
      <c r="AR194" s="662" t="str">
        <f t="shared" ref="AR194" si="277">IF($AN$3="４週",AU195,AV195)</f>
        <v/>
      </c>
      <c r="AS194" s="662"/>
      <c r="AT194" s="671" t="str">
        <f t="shared" ref="AT194" si="278">IF(AX195&lt;=1.1,"",IF(AY195&lt;=1.1,"",IF(F194="","","勤務時間"&amp;CHAR(10)&amp;"OVER")))</f>
        <v/>
      </c>
      <c r="AU194" s="520" t="s">
        <v>630</v>
      </c>
      <c r="AV194" s="520" t="s">
        <v>631</v>
      </c>
      <c r="AX194" s="520" t="s">
        <v>632</v>
      </c>
      <c r="AY194" s="520" t="s">
        <v>633</v>
      </c>
    </row>
    <row r="195" spans="1:51" s="500" customFormat="1" ht="12" customHeight="1">
      <c r="A195" s="673"/>
      <c r="B195" s="676"/>
      <c r="C195" s="694"/>
      <c r="D195" s="682"/>
      <c r="E195" s="521"/>
      <c r="F195" s="686"/>
      <c r="G195" s="687"/>
      <c r="H195" s="522" t="s">
        <v>634</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91"/>
      <c r="AO195" s="663"/>
      <c r="AP195" s="667"/>
      <c r="AQ195" s="668"/>
      <c r="AR195" s="663"/>
      <c r="AS195" s="663"/>
      <c r="AT195" s="671"/>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4"/>
      <c r="B196" s="677"/>
      <c r="C196" s="695"/>
      <c r="D196" s="683"/>
      <c r="E196" s="521"/>
      <c r="F196" s="688"/>
      <c r="G196" s="689"/>
      <c r="H196" s="525" t="s">
        <v>635</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92"/>
      <c r="AO196" s="664"/>
      <c r="AP196" s="669"/>
      <c r="AQ196" s="670"/>
      <c r="AR196" s="664"/>
      <c r="AS196" s="664"/>
      <c r="AT196" s="671"/>
      <c r="AU196" s="527"/>
      <c r="AV196" s="527"/>
      <c r="AX196" s="527"/>
      <c r="AY196" s="527"/>
    </row>
    <row r="197" spans="1:51" s="500" customFormat="1" ht="12" customHeight="1">
      <c r="A197" s="672">
        <v>59</v>
      </c>
      <c r="B197" s="675"/>
      <c r="C197" s="693"/>
      <c r="D197" s="681" t="s">
        <v>628</v>
      </c>
      <c r="E197" s="517"/>
      <c r="F197" s="684"/>
      <c r="G197" s="685"/>
      <c r="H197" s="518" t="s">
        <v>629</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90">
        <f t="shared" ref="AN197" si="281">IF(LEFT($AN$1,6)="共同生活援助",SUM(I198:AM198),SUM(I198:AM199))</f>
        <v>0</v>
      </c>
      <c r="AO197" s="662">
        <f>IF($AN$3="４週",AN197/4,AN197/(DAY(EOMONTH($I$21,0))/7))</f>
        <v>0</v>
      </c>
      <c r="AP197" s="665"/>
      <c r="AQ197" s="666"/>
      <c r="AR197" s="662" t="str">
        <f t="shared" ref="AR197" si="282">IF($AN$3="４週",AU198,AV198)</f>
        <v/>
      </c>
      <c r="AS197" s="662"/>
      <c r="AT197" s="671" t="str">
        <f t="shared" ref="AT197" si="283">IF(AX198&lt;=1.1,"",IF(AY198&lt;=1.1,"",IF(F197="","","勤務時間"&amp;CHAR(10)&amp;"OVER")))</f>
        <v/>
      </c>
      <c r="AU197" s="520" t="s">
        <v>630</v>
      </c>
      <c r="AV197" s="520" t="s">
        <v>631</v>
      </c>
      <c r="AX197" s="520" t="s">
        <v>632</v>
      </c>
      <c r="AY197" s="520" t="s">
        <v>633</v>
      </c>
    </row>
    <row r="198" spans="1:51" s="500" customFormat="1" ht="12" customHeight="1">
      <c r="A198" s="673"/>
      <c r="B198" s="676"/>
      <c r="C198" s="694"/>
      <c r="D198" s="682"/>
      <c r="E198" s="521"/>
      <c r="F198" s="686"/>
      <c r="G198" s="687"/>
      <c r="H198" s="522" t="s">
        <v>634</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91"/>
      <c r="AO198" s="663"/>
      <c r="AP198" s="667"/>
      <c r="AQ198" s="668"/>
      <c r="AR198" s="663"/>
      <c r="AS198" s="663"/>
      <c r="AT198" s="671"/>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4"/>
      <c r="B199" s="677"/>
      <c r="C199" s="695"/>
      <c r="D199" s="683"/>
      <c r="E199" s="521"/>
      <c r="F199" s="688"/>
      <c r="G199" s="689"/>
      <c r="H199" s="525" t="s">
        <v>635</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92"/>
      <c r="AO199" s="664"/>
      <c r="AP199" s="669"/>
      <c r="AQ199" s="670"/>
      <c r="AR199" s="664"/>
      <c r="AS199" s="664"/>
      <c r="AT199" s="671"/>
      <c r="AU199" s="527"/>
      <c r="AV199" s="527"/>
      <c r="AX199" s="527"/>
      <c r="AY199" s="527"/>
    </row>
    <row r="200" spans="1:51" s="500" customFormat="1" ht="12" customHeight="1">
      <c r="A200" s="672">
        <v>60</v>
      </c>
      <c r="B200" s="675"/>
      <c r="C200" s="693"/>
      <c r="D200" s="681" t="s">
        <v>628</v>
      </c>
      <c r="E200" s="517"/>
      <c r="F200" s="684"/>
      <c r="G200" s="685"/>
      <c r="H200" s="518" t="s">
        <v>629</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90">
        <f t="shared" ref="AN200" si="286">IF(LEFT($AN$1,6)="共同生活援助",SUM(I201:AM201),SUM(I201:AM202))</f>
        <v>0</v>
      </c>
      <c r="AO200" s="662">
        <f>IF($AN$3="４週",AN200/4,AN200/(DAY(EOMONTH($I$21,0))/7))</f>
        <v>0</v>
      </c>
      <c r="AP200" s="665"/>
      <c r="AQ200" s="666"/>
      <c r="AR200" s="662" t="str">
        <f t="shared" ref="AR200" si="287">IF($AN$3="４週",AU201,AV201)</f>
        <v/>
      </c>
      <c r="AS200" s="662"/>
      <c r="AT200" s="671" t="str">
        <f t="shared" ref="AT200" si="288">IF(AX201&lt;=1.1,"",IF(AY201&lt;=1.1,"",IF(F200="","","勤務時間"&amp;CHAR(10)&amp;"OVER")))</f>
        <v/>
      </c>
      <c r="AU200" s="520" t="s">
        <v>630</v>
      </c>
      <c r="AV200" s="520" t="s">
        <v>631</v>
      </c>
      <c r="AX200" s="520" t="s">
        <v>632</v>
      </c>
      <c r="AY200" s="520" t="s">
        <v>633</v>
      </c>
    </row>
    <row r="201" spans="1:51" s="500" customFormat="1" ht="12" customHeight="1">
      <c r="A201" s="673"/>
      <c r="B201" s="676"/>
      <c r="C201" s="694"/>
      <c r="D201" s="682"/>
      <c r="E201" s="521"/>
      <c r="F201" s="686"/>
      <c r="G201" s="687"/>
      <c r="H201" s="522" t="s">
        <v>634</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91"/>
      <c r="AO201" s="663"/>
      <c r="AP201" s="667"/>
      <c r="AQ201" s="668"/>
      <c r="AR201" s="663"/>
      <c r="AS201" s="663"/>
      <c r="AT201" s="671"/>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4"/>
      <c r="B202" s="677"/>
      <c r="C202" s="695"/>
      <c r="D202" s="683"/>
      <c r="E202" s="521"/>
      <c r="F202" s="688"/>
      <c r="G202" s="689"/>
      <c r="H202" s="525" t="s">
        <v>635</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92"/>
      <c r="AO202" s="664"/>
      <c r="AP202" s="669"/>
      <c r="AQ202" s="670"/>
      <c r="AR202" s="664"/>
      <c r="AS202" s="664"/>
      <c r="AT202" s="671"/>
      <c r="AU202" s="527"/>
      <c r="AV202" s="527"/>
      <c r="AX202" s="527"/>
      <c r="AY202" s="527"/>
    </row>
    <row r="203" spans="1:51" s="500" customFormat="1" ht="12" customHeight="1">
      <c r="A203" s="672">
        <v>61</v>
      </c>
      <c r="B203" s="675"/>
      <c r="C203" s="693"/>
      <c r="D203" s="681" t="s">
        <v>628</v>
      </c>
      <c r="E203" s="517"/>
      <c r="F203" s="684"/>
      <c r="G203" s="685"/>
      <c r="H203" s="518" t="s">
        <v>629</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90">
        <f t="shared" ref="AN203" si="291">IF(LEFT($AN$1,6)="共同生活援助",SUM(I204:AM204),SUM(I204:AM205))</f>
        <v>0</v>
      </c>
      <c r="AO203" s="662">
        <f>IF($AN$3="４週",AN203/4,AN203/(DAY(EOMONTH($I$21,0))/7))</f>
        <v>0</v>
      </c>
      <c r="AP203" s="665"/>
      <c r="AQ203" s="666"/>
      <c r="AR203" s="662" t="str">
        <f t="shared" ref="AR203" si="292">IF($AN$3="４週",AU204,AV204)</f>
        <v/>
      </c>
      <c r="AS203" s="662"/>
      <c r="AT203" s="671" t="str">
        <f t="shared" ref="AT203" si="293">IF(AX204&lt;=1.1,"",IF(AY204&lt;=1.1,"",IF(F203="","","勤務時間"&amp;CHAR(10)&amp;"OVER")))</f>
        <v/>
      </c>
      <c r="AU203" s="520" t="s">
        <v>630</v>
      </c>
      <c r="AV203" s="520" t="s">
        <v>631</v>
      </c>
      <c r="AX203" s="520" t="s">
        <v>632</v>
      </c>
      <c r="AY203" s="520" t="s">
        <v>633</v>
      </c>
    </row>
    <row r="204" spans="1:51" s="500" customFormat="1" ht="12" customHeight="1">
      <c r="A204" s="673"/>
      <c r="B204" s="676"/>
      <c r="C204" s="694"/>
      <c r="D204" s="682"/>
      <c r="E204" s="521"/>
      <c r="F204" s="686"/>
      <c r="G204" s="687"/>
      <c r="H204" s="522" t="s">
        <v>634</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91"/>
      <c r="AO204" s="663"/>
      <c r="AP204" s="667"/>
      <c r="AQ204" s="668"/>
      <c r="AR204" s="663"/>
      <c r="AS204" s="663"/>
      <c r="AT204" s="671"/>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4"/>
      <c r="B205" s="677"/>
      <c r="C205" s="695"/>
      <c r="D205" s="683"/>
      <c r="E205" s="521"/>
      <c r="F205" s="688"/>
      <c r="G205" s="689"/>
      <c r="H205" s="525" t="s">
        <v>635</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92"/>
      <c r="AO205" s="664"/>
      <c r="AP205" s="669"/>
      <c r="AQ205" s="670"/>
      <c r="AR205" s="664"/>
      <c r="AS205" s="664"/>
      <c r="AT205" s="671"/>
      <c r="AU205" s="527"/>
      <c r="AV205" s="527"/>
      <c r="AX205" s="527"/>
      <c r="AY205" s="527"/>
    </row>
    <row r="206" spans="1:51" s="500" customFormat="1" ht="12" customHeight="1">
      <c r="A206" s="672">
        <v>62</v>
      </c>
      <c r="B206" s="675"/>
      <c r="C206" s="693"/>
      <c r="D206" s="681" t="s">
        <v>628</v>
      </c>
      <c r="E206" s="517"/>
      <c r="F206" s="684"/>
      <c r="G206" s="685"/>
      <c r="H206" s="518" t="s">
        <v>629</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90">
        <f t="shared" ref="AN206" si="296">IF(LEFT($AN$1,6)="共同生活援助",SUM(I207:AM207),SUM(I207:AM208))</f>
        <v>0</v>
      </c>
      <c r="AO206" s="662">
        <f>IF($AN$3="４週",AN206/4,AN206/(DAY(EOMONTH($I$21,0))/7))</f>
        <v>0</v>
      </c>
      <c r="AP206" s="665"/>
      <c r="AQ206" s="666"/>
      <c r="AR206" s="662" t="str">
        <f t="shared" ref="AR206" si="297">IF($AN$3="４週",AU207,AV207)</f>
        <v/>
      </c>
      <c r="AS206" s="662"/>
      <c r="AT206" s="671" t="str">
        <f t="shared" ref="AT206" si="298">IF(AX207&lt;=1.1,"",IF(AY207&lt;=1.1,"",IF(F206="","","勤務時間"&amp;CHAR(10)&amp;"OVER")))</f>
        <v/>
      </c>
      <c r="AU206" s="520" t="s">
        <v>630</v>
      </c>
      <c r="AV206" s="520" t="s">
        <v>631</v>
      </c>
      <c r="AX206" s="520" t="s">
        <v>632</v>
      </c>
      <c r="AY206" s="520" t="s">
        <v>633</v>
      </c>
    </row>
    <row r="207" spans="1:51" s="500" customFormat="1" ht="12" customHeight="1">
      <c r="A207" s="673"/>
      <c r="B207" s="676"/>
      <c r="C207" s="694"/>
      <c r="D207" s="682"/>
      <c r="E207" s="521"/>
      <c r="F207" s="686"/>
      <c r="G207" s="687"/>
      <c r="H207" s="522" t="s">
        <v>634</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91"/>
      <c r="AO207" s="663"/>
      <c r="AP207" s="667"/>
      <c r="AQ207" s="668"/>
      <c r="AR207" s="663"/>
      <c r="AS207" s="663"/>
      <c r="AT207" s="671"/>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4"/>
      <c r="B208" s="677"/>
      <c r="C208" s="695"/>
      <c r="D208" s="683"/>
      <c r="E208" s="521"/>
      <c r="F208" s="688"/>
      <c r="G208" s="689"/>
      <c r="H208" s="525" t="s">
        <v>635</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92"/>
      <c r="AO208" s="664"/>
      <c r="AP208" s="669"/>
      <c r="AQ208" s="670"/>
      <c r="AR208" s="664"/>
      <c r="AS208" s="664"/>
      <c r="AT208" s="671"/>
      <c r="AU208" s="527"/>
      <c r="AV208" s="527"/>
      <c r="AX208" s="527"/>
      <c r="AY208" s="527"/>
    </row>
    <row r="209" spans="1:51" s="500" customFormat="1" ht="12" customHeight="1">
      <c r="A209" s="672">
        <v>63</v>
      </c>
      <c r="B209" s="675"/>
      <c r="C209" s="693"/>
      <c r="D209" s="681" t="s">
        <v>628</v>
      </c>
      <c r="E209" s="517"/>
      <c r="F209" s="684"/>
      <c r="G209" s="685"/>
      <c r="H209" s="518" t="s">
        <v>629</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90">
        <f t="shared" ref="AN209" si="301">IF(LEFT($AN$1,6)="共同生活援助",SUM(I210:AM210),SUM(I210:AM211))</f>
        <v>0</v>
      </c>
      <c r="AO209" s="662">
        <f>IF($AN$3="４週",AN209/4,AN209/(DAY(EOMONTH($I$21,0))/7))</f>
        <v>0</v>
      </c>
      <c r="AP209" s="665"/>
      <c r="AQ209" s="666"/>
      <c r="AR209" s="662" t="str">
        <f t="shared" ref="AR209" si="302">IF($AN$3="４週",AU210,AV210)</f>
        <v/>
      </c>
      <c r="AS209" s="662"/>
      <c r="AT209" s="671" t="str">
        <f t="shared" ref="AT209" si="303">IF(AX210&lt;=1.1,"",IF(AY210&lt;=1.1,"",IF(F209="","","勤務時間"&amp;CHAR(10)&amp;"OVER")))</f>
        <v/>
      </c>
      <c r="AU209" s="520" t="s">
        <v>630</v>
      </c>
      <c r="AV209" s="520" t="s">
        <v>631</v>
      </c>
      <c r="AX209" s="520" t="s">
        <v>632</v>
      </c>
      <c r="AY209" s="520" t="s">
        <v>633</v>
      </c>
    </row>
    <row r="210" spans="1:51" s="500" customFormat="1" ht="12" customHeight="1">
      <c r="A210" s="673"/>
      <c r="B210" s="676"/>
      <c r="C210" s="694"/>
      <c r="D210" s="682"/>
      <c r="E210" s="521"/>
      <c r="F210" s="686"/>
      <c r="G210" s="687"/>
      <c r="H210" s="522" t="s">
        <v>634</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91"/>
      <c r="AO210" s="663"/>
      <c r="AP210" s="667"/>
      <c r="AQ210" s="668"/>
      <c r="AR210" s="663"/>
      <c r="AS210" s="663"/>
      <c r="AT210" s="671"/>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4"/>
      <c r="B211" s="677"/>
      <c r="C211" s="695"/>
      <c r="D211" s="683"/>
      <c r="E211" s="521"/>
      <c r="F211" s="688"/>
      <c r="G211" s="689"/>
      <c r="H211" s="525" t="s">
        <v>635</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92"/>
      <c r="AO211" s="664"/>
      <c r="AP211" s="669"/>
      <c r="AQ211" s="670"/>
      <c r="AR211" s="664"/>
      <c r="AS211" s="664"/>
      <c r="AT211" s="671"/>
      <c r="AU211" s="527"/>
      <c r="AV211" s="527"/>
      <c r="AX211" s="527"/>
      <c r="AY211" s="527"/>
    </row>
    <row r="212" spans="1:51" s="500" customFormat="1" ht="12" customHeight="1">
      <c r="A212" s="672">
        <v>64</v>
      </c>
      <c r="B212" s="675"/>
      <c r="C212" s="693"/>
      <c r="D212" s="681" t="s">
        <v>628</v>
      </c>
      <c r="E212" s="517"/>
      <c r="F212" s="684"/>
      <c r="G212" s="685"/>
      <c r="H212" s="518" t="s">
        <v>629</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90">
        <f t="shared" ref="AN212" si="306">IF(LEFT($AN$1,6)="共同生活援助",SUM(I213:AM213),SUM(I213:AM214))</f>
        <v>0</v>
      </c>
      <c r="AO212" s="662">
        <f>IF($AN$3="４週",AN212/4,AN212/(DAY(EOMONTH($I$21,0))/7))</f>
        <v>0</v>
      </c>
      <c r="AP212" s="665"/>
      <c r="AQ212" s="666"/>
      <c r="AR212" s="662" t="str">
        <f t="shared" ref="AR212" si="307">IF($AN$3="４週",AU213,AV213)</f>
        <v/>
      </c>
      <c r="AS212" s="662"/>
      <c r="AT212" s="671" t="str">
        <f t="shared" ref="AT212" si="308">IF(AX213&lt;=1.1,"",IF(AY213&lt;=1.1,"",IF(F212="","","勤務時間"&amp;CHAR(10)&amp;"OVER")))</f>
        <v/>
      </c>
      <c r="AU212" s="520" t="s">
        <v>630</v>
      </c>
      <c r="AV212" s="520" t="s">
        <v>631</v>
      </c>
      <c r="AX212" s="520" t="s">
        <v>632</v>
      </c>
      <c r="AY212" s="520" t="s">
        <v>633</v>
      </c>
    </row>
    <row r="213" spans="1:51" s="500" customFormat="1" ht="12" customHeight="1">
      <c r="A213" s="673"/>
      <c r="B213" s="676"/>
      <c r="C213" s="694"/>
      <c r="D213" s="682"/>
      <c r="E213" s="521"/>
      <c r="F213" s="686"/>
      <c r="G213" s="687"/>
      <c r="H213" s="522" t="s">
        <v>634</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91"/>
      <c r="AO213" s="663"/>
      <c r="AP213" s="667"/>
      <c r="AQ213" s="668"/>
      <c r="AR213" s="663"/>
      <c r="AS213" s="663"/>
      <c r="AT213" s="671"/>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4"/>
      <c r="B214" s="677"/>
      <c r="C214" s="695"/>
      <c r="D214" s="683"/>
      <c r="E214" s="521"/>
      <c r="F214" s="688"/>
      <c r="G214" s="689"/>
      <c r="H214" s="525" t="s">
        <v>635</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92"/>
      <c r="AO214" s="664"/>
      <c r="AP214" s="669"/>
      <c r="AQ214" s="670"/>
      <c r="AR214" s="664"/>
      <c r="AS214" s="664"/>
      <c r="AT214" s="671"/>
      <c r="AU214" s="527"/>
      <c r="AV214" s="527"/>
      <c r="AX214" s="527"/>
      <c r="AY214" s="527"/>
    </row>
    <row r="215" spans="1:51" s="500" customFormat="1" ht="12" customHeight="1">
      <c r="A215" s="672">
        <v>65</v>
      </c>
      <c r="B215" s="675"/>
      <c r="C215" s="693"/>
      <c r="D215" s="681" t="s">
        <v>628</v>
      </c>
      <c r="E215" s="517"/>
      <c r="F215" s="684"/>
      <c r="G215" s="685"/>
      <c r="H215" s="518" t="s">
        <v>629</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90">
        <f t="shared" ref="AN215" si="311">IF(LEFT($AN$1,6)="共同生活援助",SUM(I216:AM216),SUM(I216:AM217))</f>
        <v>0</v>
      </c>
      <c r="AO215" s="662">
        <f>IF($AN$3="４週",AN215/4,AN215/(DAY(EOMONTH($I$21,0))/7))</f>
        <v>0</v>
      </c>
      <c r="AP215" s="665"/>
      <c r="AQ215" s="666"/>
      <c r="AR215" s="662" t="str">
        <f t="shared" ref="AR215" si="312">IF($AN$3="４週",AU216,AV216)</f>
        <v/>
      </c>
      <c r="AS215" s="662"/>
      <c r="AT215" s="671" t="str">
        <f t="shared" ref="AT215" si="313">IF(AX216&lt;=1.1,"",IF(AY216&lt;=1.1,"",IF(F215="","","勤務時間"&amp;CHAR(10)&amp;"OVER")))</f>
        <v/>
      </c>
      <c r="AU215" s="520" t="s">
        <v>630</v>
      </c>
      <c r="AV215" s="520" t="s">
        <v>631</v>
      </c>
      <c r="AX215" s="520" t="s">
        <v>632</v>
      </c>
      <c r="AY215" s="520" t="s">
        <v>633</v>
      </c>
    </row>
    <row r="216" spans="1:51" s="500" customFormat="1" ht="12" customHeight="1">
      <c r="A216" s="673"/>
      <c r="B216" s="676"/>
      <c r="C216" s="694"/>
      <c r="D216" s="682"/>
      <c r="E216" s="521"/>
      <c r="F216" s="686"/>
      <c r="G216" s="687"/>
      <c r="H216" s="522" t="s">
        <v>634</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91"/>
      <c r="AO216" s="663"/>
      <c r="AP216" s="667"/>
      <c r="AQ216" s="668"/>
      <c r="AR216" s="663"/>
      <c r="AS216" s="663"/>
      <c r="AT216" s="671"/>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4"/>
      <c r="B217" s="677"/>
      <c r="C217" s="695"/>
      <c r="D217" s="683"/>
      <c r="E217" s="521"/>
      <c r="F217" s="688"/>
      <c r="G217" s="689"/>
      <c r="H217" s="525" t="s">
        <v>635</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92"/>
      <c r="AO217" s="664"/>
      <c r="AP217" s="669"/>
      <c r="AQ217" s="670"/>
      <c r="AR217" s="664"/>
      <c r="AS217" s="664"/>
      <c r="AT217" s="671"/>
      <c r="AU217" s="527"/>
      <c r="AV217" s="527"/>
      <c r="AX217" s="527"/>
      <c r="AY217" s="527"/>
    </row>
    <row r="218" spans="1:51" s="500" customFormat="1" ht="12" customHeight="1">
      <c r="A218" s="672">
        <v>66</v>
      </c>
      <c r="B218" s="675"/>
      <c r="C218" s="693"/>
      <c r="D218" s="681" t="s">
        <v>628</v>
      </c>
      <c r="E218" s="517"/>
      <c r="F218" s="684"/>
      <c r="G218" s="685"/>
      <c r="H218" s="518" t="s">
        <v>629</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90">
        <f t="shared" ref="AN218" si="316">IF(LEFT($AN$1,6)="共同生活援助",SUM(I219:AM219),SUM(I219:AM220))</f>
        <v>0</v>
      </c>
      <c r="AO218" s="662">
        <f>IF($AN$3="４週",AN218/4,AN218/(DAY(EOMONTH($I$21,0))/7))</f>
        <v>0</v>
      </c>
      <c r="AP218" s="665"/>
      <c r="AQ218" s="666"/>
      <c r="AR218" s="662" t="str">
        <f t="shared" ref="AR218" si="317">IF($AN$3="４週",AU219,AV219)</f>
        <v/>
      </c>
      <c r="AS218" s="662"/>
      <c r="AT218" s="671" t="str">
        <f t="shared" ref="AT218" si="318">IF(AX219&lt;=1.1,"",IF(AY219&lt;=1.1,"",IF(F218="","","勤務時間"&amp;CHAR(10)&amp;"OVER")))</f>
        <v/>
      </c>
      <c r="AU218" s="520" t="s">
        <v>630</v>
      </c>
      <c r="AV218" s="520" t="s">
        <v>631</v>
      </c>
      <c r="AX218" s="520" t="s">
        <v>632</v>
      </c>
      <c r="AY218" s="520" t="s">
        <v>633</v>
      </c>
    </row>
    <row r="219" spans="1:51" s="500" customFormat="1" ht="12" customHeight="1">
      <c r="A219" s="673"/>
      <c r="B219" s="676"/>
      <c r="C219" s="694"/>
      <c r="D219" s="682"/>
      <c r="E219" s="521"/>
      <c r="F219" s="686"/>
      <c r="G219" s="687"/>
      <c r="H219" s="522" t="s">
        <v>634</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91"/>
      <c r="AO219" s="663"/>
      <c r="AP219" s="667"/>
      <c r="AQ219" s="668"/>
      <c r="AR219" s="663"/>
      <c r="AS219" s="663"/>
      <c r="AT219" s="671"/>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4"/>
      <c r="B220" s="677"/>
      <c r="C220" s="695"/>
      <c r="D220" s="683"/>
      <c r="E220" s="521"/>
      <c r="F220" s="688"/>
      <c r="G220" s="689"/>
      <c r="H220" s="525" t="s">
        <v>635</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92"/>
      <c r="AO220" s="664"/>
      <c r="AP220" s="669"/>
      <c r="AQ220" s="670"/>
      <c r="AR220" s="664"/>
      <c r="AS220" s="664"/>
      <c r="AT220" s="671"/>
      <c r="AU220" s="527"/>
      <c r="AV220" s="527"/>
      <c r="AX220" s="527"/>
      <c r="AY220" s="527"/>
    </row>
    <row r="221" spans="1:51" s="500" customFormat="1" ht="12" customHeight="1">
      <c r="A221" s="672">
        <v>67</v>
      </c>
      <c r="B221" s="675"/>
      <c r="C221" s="693"/>
      <c r="D221" s="681" t="s">
        <v>628</v>
      </c>
      <c r="E221" s="517"/>
      <c r="F221" s="684"/>
      <c r="G221" s="685"/>
      <c r="H221" s="518" t="s">
        <v>629</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90">
        <f t="shared" ref="AN221" si="321">IF(LEFT($AN$1,6)="共同生活援助",SUM(I222:AM222),SUM(I222:AM223))</f>
        <v>0</v>
      </c>
      <c r="AO221" s="662">
        <f>IF($AN$3="４週",AN221/4,AN221/(DAY(EOMONTH($I$21,0))/7))</f>
        <v>0</v>
      </c>
      <c r="AP221" s="665"/>
      <c r="AQ221" s="666"/>
      <c r="AR221" s="662" t="str">
        <f t="shared" ref="AR221" si="322">IF($AN$3="４週",AU222,AV222)</f>
        <v/>
      </c>
      <c r="AS221" s="662"/>
      <c r="AT221" s="671" t="str">
        <f t="shared" ref="AT221" si="323">IF(AX222&lt;=1.1,"",IF(AY222&lt;=1.1,"",IF(F221="","","勤務時間"&amp;CHAR(10)&amp;"OVER")))</f>
        <v/>
      </c>
      <c r="AU221" s="520" t="s">
        <v>630</v>
      </c>
      <c r="AV221" s="520" t="s">
        <v>631</v>
      </c>
      <c r="AX221" s="520" t="s">
        <v>632</v>
      </c>
      <c r="AY221" s="520" t="s">
        <v>633</v>
      </c>
    </row>
    <row r="222" spans="1:51" s="500" customFormat="1" ht="12" customHeight="1">
      <c r="A222" s="673"/>
      <c r="B222" s="676"/>
      <c r="C222" s="694"/>
      <c r="D222" s="682"/>
      <c r="E222" s="521"/>
      <c r="F222" s="686"/>
      <c r="G222" s="687"/>
      <c r="H222" s="522" t="s">
        <v>634</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91"/>
      <c r="AO222" s="663"/>
      <c r="AP222" s="667"/>
      <c r="AQ222" s="668"/>
      <c r="AR222" s="663"/>
      <c r="AS222" s="663"/>
      <c r="AT222" s="671"/>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4"/>
      <c r="B223" s="677"/>
      <c r="C223" s="695"/>
      <c r="D223" s="683"/>
      <c r="E223" s="521"/>
      <c r="F223" s="688"/>
      <c r="G223" s="689"/>
      <c r="H223" s="525" t="s">
        <v>635</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92"/>
      <c r="AO223" s="664"/>
      <c r="AP223" s="669"/>
      <c r="AQ223" s="670"/>
      <c r="AR223" s="664"/>
      <c r="AS223" s="664"/>
      <c r="AT223" s="671"/>
      <c r="AU223" s="527"/>
      <c r="AV223" s="527"/>
      <c r="AX223" s="527"/>
      <c r="AY223" s="527"/>
    </row>
    <row r="224" spans="1:51" s="500" customFormat="1" ht="12" customHeight="1">
      <c r="A224" s="672">
        <v>68</v>
      </c>
      <c r="B224" s="675"/>
      <c r="C224" s="678"/>
      <c r="D224" s="681" t="s">
        <v>628</v>
      </c>
      <c r="E224" s="517"/>
      <c r="F224" s="684"/>
      <c r="G224" s="685"/>
      <c r="H224" s="518" t="s">
        <v>629</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90">
        <f t="shared" ref="AN224" si="326">IF(LEFT($AN$1,6)="共同生活援助",SUM(I225:AM225),SUM(I225:AM226))</f>
        <v>0</v>
      </c>
      <c r="AO224" s="662">
        <f>IF($AN$3="４週",AN224/4,AN224/(DAY(EOMONTH($I$21,0))/7))</f>
        <v>0</v>
      </c>
      <c r="AP224" s="665"/>
      <c r="AQ224" s="666"/>
      <c r="AR224" s="662" t="str">
        <f t="shared" ref="AR224" si="327">IF($AN$3="４週",AU225,AV225)</f>
        <v/>
      </c>
      <c r="AS224" s="662"/>
      <c r="AT224" s="671" t="str">
        <f t="shared" ref="AT224" si="328">IF(AX225&lt;=1.1,"",IF(AY225&lt;=1.1,"",IF(F224="","","勤務時間"&amp;CHAR(10)&amp;"OVER")))</f>
        <v/>
      </c>
      <c r="AU224" s="520" t="s">
        <v>630</v>
      </c>
      <c r="AV224" s="520" t="s">
        <v>631</v>
      </c>
      <c r="AX224" s="520" t="s">
        <v>632</v>
      </c>
      <c r="AY224" s="520" t="s">
        <v>633</v>
      </c>
    </row>
    <row r="225" spans="1:51" s="500" customFormat="1" ht="12" customHeight="1">
      <c r="A225" s="673"/>
      <c r="B225" s="676"/>
      <c r="C225" s="679"/>
      <c r="D225" s="682"/>
      <c r="E225" s="521"/>
      <c r="F225" s="686"/>
      <c r="G225" s="687"/>
      <c r="H225" s="522" t="s">
        <v>634</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91"/>
      <c r="AO225" s="663"/>
      <c r="AP225" s="667"/>
      <c r="AQ225" s="668"/>
      <c r="AR225" s="663"/>
      <c r="AS225" s="663"/>
      <c r="AT225" s="671"/>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4"/>
      <c r="B226" s="677"/>
      <c r="C226" s="680"/>
      <c r="D226" s="683"/>
      <c r="E226" s="521"/>
      <c r="F226" s="688"/>
      <c r="G226" s="689"/>
      <c r="H226" s="525" t="s">
        <v>635</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92"/>
      <c r="AO226" s="664"/>
      <c r="AP226" s="669"/>
      <c r="AQ226" s="670"/>
      <c r="AR226" s="664"/>
      <c r="AS226" s="664"/>
      <c r="AT226" s="671"/>
      <c r="AU226" s="527"/>
      <c r="AV226" s="527"/>
      <c r="AX226" s="527"/>
      <c r="AY226" s="527"/>
    </row>
    <row r="227" spans="1:51" s="500" customFormat="1" ht="12" customHeight="1">
      <c r="A227" s="672">
        <v>69</v>
      </c>
      <c r="B227" s="675"/>
      <c r="C227" s="693"/>
      <c r="D227" s="681" t="s">
        <v>628</v>
      </c>
      <c r="E227" s="517"/>
      <c r="F227" s="684"/>
      <c r="G227" s="685"/>
      <c r="H227" s="518" t="s">
        <v>629</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90">
        <f t="shared" ref="AN227" si="331">IF(LEFT($AN$1,6)="共同生活援助",SUM(I228:AM228),SUM(I228:AM229))</f>
        <v>0</v>
      </c>
      <c r="AO227" s="662">
        <f>IF($AN$3="４週",AN227/4,AN227/(DAY(EOMONTH($I$21,0))/7))</f>
        <v>0</v>
      </c>
      <c r="AP227" s="665"/>
      <c r="AQ227" s="666"/>
      <c r="AR227" s="662" t="str">
        <f t="shared" ref="AR227" si="332">IF($AN$3="４週",AU228,AV228)</f>
        <v/>
      </c>
      <c r="AS227" s="662"/>
      <c r="AT227" s="671" t="str">
        <f t="shared" ref="AT227" si="333">IF(AX228&lt;=1.1,"",IF(AY228&lt;=1.1,"",IF(F227="","","勤務時間"&amp;CHAR(10)&amp;"OVER")))</f>
        <v/>
      </c>
      <c r="AU227" s="520" t="s">
        <v>630</v>
      </c>
      <c r="AV227" s="520" t="s">
        <v>631</v>
      </c>
      <c r="AX227" s="520" t="s">
        <v>632</v>
      </c>
      <c r="AY227" s="520" t="s">
        <v>633</v>
      </c>
    </row>
    <row r="228" spans="1:51" s="500" customFormat="1" ht="12" customHeight="1">
      <c r="A228" s="673"/>
      <c r="B228" s="676"/>
      <c r="C228" s="694"/>
      <c r="D228" s="682"/>
      <c r="E228" s="521"/>
      <c r="F228" s="686"/>
      <c r="G228" s="687"/>
      <c r="H228" s="522" t="s">
        <v>634</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91"/>
      <c r="AO228" s="663"/>
      <c r="AP228" s="667"/>
      <c r="AQ228" s="668"/>
      <c r="AR228" s="663"/>
      <c r="AS228" s="663"/>
      <c r="AT228" s="671"/>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4"/>
      <c r="B229" s="677"/>
      <c r="C229" s="695"/>
      <c r="D229" s="683"/>
      <c r="E229" s="521"/>
      <c r="F229" s="688"/>
      <c r="G229" s="689"/>
      <c r="H229" s="525" t="s">
        <v>635</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92"/>
      <c r="AO229" s="664"/>
      <c r="AP229" s="669"/>
      <c r="AQ229" s="670"/>
      <c r="AR229" s="664"/>
      <c r="AS229" s="664"/>
      <c r="AT229" s="671"/>
      <c r="AU229" s="527"/>
      <c r="AV229" s="527"/>
      <c r="AX229" s="527"/>
      <c r="AY229" s="527"/>
    </row>
    <row r="230" spans="1:51" s="500" customFormat="1" ht="12" customHeight="1">
      <c r="A230" s="672">
        <v>70</v>
      </c>
      <c r="B230" s="675"/>
      <c r="C230" s="693"/>
      <c r="D230" s="681" t="s">
        <v>628</v>
      </c>
      <c r="E230" s="517"/>
      <c r="F230" s="684"/>
      <c r="G230" s="685"/>
      <c r="H230" s="518" t="s">
        <v>629</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90">
        <f t="shared" ref="AN230" si="336">IF(LEFT($AN$1,6)="共同生活援助",SUM(I231:AM231),SUM(I231:AM232))</f>
        <v>0</v>
      </c>
      <c r="AO230" s="662">
        <f>IF($AN$3="４週",AN230/4,AN230/(DAY(EOMONTH($I$21,0))/7))</f>
        <v>0</v>
      </c>
      <c r="AP230" s="665"/>
      <c r="AQ230" s="666"/>
      <c r="AR230" s="662" t="str">
        <f t="shared" ref="AR230" si="337">IF($AN$3="４週",AU231,AV231)</f>
        <v/>
      </c>
      <c r="AS230" s="662"/>
      <c r="AT230" s="671" t="str">
        <f t="shared" ref="AT230" si="338">IF(AX231&lt;=1.1,"",IF(AY231&lt;=1.1,"",IF(F230="","","勤務時間"&amp;CHAR(10)&amp;"OVER")))</f>
        <v/>
      </c>
      <c r="AU230" s="520" t="s">
        <v>630</v>
      </c>
      <c r="AV230" s="520" t="s">
        <v>631</v>
      </c>
      <c r="AX230" s="520" t="s">
        <v>632</v>
      </c>
      <c r="AY230" s="520" t="s">
        <v>633</v>
      </c>
    </row>
    <row r="231" spans="1:51" s="500" customFormat="1" ht="12" customHeight="1">
      <c r="A231" s="673"/>
      <c r="B231" s="676"/>
      <c r="C231" s="694"/>
      <c r="D231" s="682"/>
      <c r="E231" s="521"/>
      <c r="F231" s="686"/>
      <c r="G231" s="687"/>
      <c r="H231" s="522" t="s">
        <v>634</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91"/>
      <c r="AO231" s="663"/>
      <c r="AP231" s="667"/>
      <c r="AQ231" s="668"/>
      <c r="AR231" s="663"/>
      <c r="AS231" s="663"/>
      <c r="AT231" s="671"/>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4"/>
      <c r="B232" s="677"/>
      <c r="C232" s="695"/>
      <c r="D232" s="683"/>
      <c r="E232" s="521"/>
      <c r="F232" s="688"/>
      <c r="G232" s="689"/>
      <c r="H232" s="525" t="s">
        <v>635</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92"/>
      <c r="AO232" s="664"/>
      <c r="AP232" s="669"/>
      <c r="AQ232" s="670"/>
      <c r="AR232" s="664"/>
      <c r="AS232" s="664"/>
      <c r="AT232" s="671"/>
      <c r="AU232" s="527"/>
      <c r="AV232" s="527"/>
      <c r="AX232" s="527"/>
      <c r="AY232" s="527"/>
    </row>
    <row r="233" spans="1:51" s="500" customFormat="1" ht="12" customHeight="1">
      <c r="A233" s="672">
        <v>71</v>
      </c>
      <c r="B233" s="675"/>
      <c r="C233" s="693"/>
      <c r="D233" s="681" t="s">
        <v>628</v>
      </c>
      <c r="E233" s="517"/>
      <c r="F233" s="684"/>
      <c r="G233" s="685"/>
      <c r="H233" s="518" t="s">
        <v>629</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90">
        <f t="shared" ref="AN233" si="341">IF(LEFT($AN$1,6)="共同生活援助",SUM(I234:AM234),SUM(I234:AM235))</f>
        <v>0</v>
      </c>
      <c r="AO233" s="662">
        <f>IF($AN$3="４週",AN233/4,AN233/(DAY(EOMONTH($I$21,0))/7))</f>
        <v>0</v>
      </c>
      <c r="AP233" s="665"/>
      <c r="AQ233" s="666"/>
      <c r="AR233" s="662" t="str">
        <f t="shared" ref="AR233" si="342">IF($AN$3="４週",AU234,AV234)</f>
        <v/>
      </c>
      <c r="AS233" s="662"/>
      <c r="AT233" s="671" t="str">
        <f t="shared" ref="AT233" si="343">IF(AX234&lt;=1.1,"",IF(AY234&lt;=1.1,"",IF(F233="","","勤務時間"&amp;CHAR(10)&amp;"OVER")))</f>
        <v/>
      </c>
      <c r="AU233" s="520" t="s">
        <v>630</v>
      </c>
      <c r="AV233" s="520" t="s">
        <v>631</v>
      </c>
      <c r="AX233" s="520" t="s">
        <v>632</v>
      </c>
      <c r="AY233" s="520" t="s">
        <v>633</v>
      </c>
    </row>
    <row r="234" spans="1:51" s="500" customFormat="1" ht="12" customHeight="1">
      <c r="A234" s="673"/>
      <c r="B234" s="676"/>
      <c r="C234" s="694"/>
      <c r="D234" s="682"/>
      <c r="E234" s="521"/>
      <c r="F234" s="686"/>
      <c r="G234" s="687"/>
      <c r="H234" s="522" t="s">
        <v>634</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91"/>
      <c r="AO234" s="663"/>
      <c r="AP234" s="667"/>
      <c r="AQ234" s="668"/>
      <c r="AR234" s="663"/>
      <c r="AS234" s="663"/>
      <c r="AT234" s="671"/>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4"/>
      <c r="B235" s="677"/>
      <c r="C235" s="695"/>
      <c r="D235" s="683"/>
      <c r="E235" s="521"/>
      <c r="F235" s="688"/>
      <c r="G235" s="689"/>
      <c r="H235" s="525" t="s">
        <v>635</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92"/>
      <c r="AO235" s="664"/>
      <c r="AP235" s="669"/>
      <c r="AQ235" s="670"/>
      <c r="AR235" s="664"/>
      <c r="AS235" s="664"/>
      <c r="AT235" s="671"/>
      <c r="AU235" s="527"/>
      <c r="AV235" s="527"/>
      <c r="AX235" s="527"/>
      <c r="AY235" s="527"/>
    </row>
    <row r="236" spans="1:51" s="500" customFormat="1" ht="12" customHeight="1">
      <c r="A236" s="672">
        <v>72</v>
      </c>
      <c r="B236" s="675"/>
      <c r="C236" s="693"/>
      <c r="D236" s="681" t="s">
        <v>628</v>
      </c>
      <c r="E236" s="517"/>
      <c r="F236" s="684"/>
      <c r="G236" s="685"/>
      <c r="H236" s="518" t="s">
        <v>629</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90">
        <f t="shared" ref="AN236" si="346">IF(LEFT($AN$1,6)="共同生活援助",SUM(I237:AM237),SUM(I237:AM238))</f>
        <v>0</v>
      </c>
      <c r="AO236" s="662">
        <f>IF($AN$3="４週",AN236/4,AN236/(DAY(EOMONTH($I$21,0))/7))</f>
        <v>0</v>
      </c>
      <c r="AP236" s="665"/>
      <c r="AQ236" s="666"/>
      <c r="AR236" s="662" t="str">
        <f t="shared" ref="AR236" si="347">IF($AN$3="４週",AU237,AV237)</f>
        <v/>
      </c>
      <c r="AS236" s="662"/>
      <c r="AT236" s="671" t="str">
        <f t="shared" ref="AT236" si="348">IF(AX237&lt;=1.1,"",IF(AY237&lt;=1.1,"",IF(F236="","","勤務時間"&amp;CHAR(10)&amp;"OVER")))</f>
        <v/>
      </c>
      <c r="AU236" s="520" t="s">
        <v>630</v>
      </c>
      <c r="AV236" s="520" t="s">
        <v>631</v>
      </c>
      <c r="AX236" s="520" t="s">
        <v>632</v>
      </c>
      <c r="AY236" s="520" t="s">
        <v>633</v>
      </c>
    </row>
    <row r="237" spans="1:51" s="500" customFormat="1" ht="12" customHeight="1">
      <c r="A237" s="673"/>
      <c r="B237" s="676"/>
      <c r="C237" s="694"/>
      <c r="D237" s="682"/>
      <c r="E237" s="521"/>
      <c r="F237" s="686"/>
      <c r="G237" s="687"/>
      <c r="H237" s="522" t="s">
        <v>634</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91"/>
      <c r="AO237" s="663"/>
      <c r="AP237" s="667"/>
      <c r="AQ237" s="668"/>
      <c r="AR237" s="663"/>
      <c r="AS237" s="663"/>
      <c r="AT237" s="671"/>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4"/>
      <c r="B238" s="677"/>
      <c r="C238" s="695"/>
      <c r="D238" s="683"/>
      <c r="E238" s="521"/>
      <c r="F238" s="688"/>
      <c r="G238" s="689"/>
      <c r="H238" s="525" t="s">
        <v>635</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92"/>
      <c r="AO238" s="664"/>
      <c r="AP238" s="669"/>
      <c r="AQ238" s="670"/>
      <c r="AR238" s="664"/>
      <c r="AS238" s="664"/>
      <c r="AT238" s="671"/>
      <c r="AU238" s="527"/>
      <c r="AV238" s="527"/>
      <c r="AX238" s="527"/>
      <c r="AY238" s="527"/>
    </row>
    <row r="239" spans="1:51" s="500" customFormat="1" ht="12" customHeight="1">
      <c r="A239" s="672">
        <v>73</v>
      </c>
      <c r="B239" s="675"/>
      <c r="C239" s="693"/>
      <c r="D239" s="681" t="s">
        <v>628</v>
      </c>
      <c r="E239" s="517"/>
      <c r="F239" s="684"/>
      <c r="G239" s="685"/>
      <c r="H239" s="518" t="s">
        <v>629</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90">
        <f t="shared" ref="AN239" si="349">IF(LEFT($AN$1,6)="共同生活援助",SUM(I240:AM240),SUM(I240:AM241))</f>
        <v>0</v>
      </c>
      <c r="AO239" s="662">
        <f>IF($AN$3="４週",AN239/4,AN239/(DAY(EOMONTH($I$21,0))/7))</f>
        <v>0</v>
      </c>
      <c r="AP239" s="665"/>
      <c r="AQ239" s="666"/>
      <c r="AR239" s="662" t="str">
        <f t="shared" ref="AR239" si="350">IF($AN$3="４週",AU240,AV240)</f>
        <v/>
      </c>
      <c r="AS239" s="662"/>
      <c r="AT239" s="671" t="str">
        <f t="shared" ref="AT239" si="351">IF(AX240&lt;=1.1,"",IF(AY240&lt;=1.1,"",IF(F239="","","勤務時間"&amp;CHAR(10)&amp;"OVER")))</f>
        <v/>
      </c>
      <c r="AU239" s="520" t="s">
        <v>630</v>
      </c>
      <c r="AV239" s="520" t="s">
        <v>631</v>
      </c>
      <c r="AX239" s="520" t="s">
        <v>632</v>
      </c>
      <c r="AY239" s="520" t="s">
        <v>633</v>
      </c>
    </row>
    <row r="240" spans="1:51" s="500" customFormat="1" ht="12" customHeight="1">
      <c r="A240" s="673"/>
      <c r="B240" s="676"/>
      <c r="C240" s="694"/>
      <c r="D240" s="682"/>
      <c r="E240" s="521"/>
      <c r="F240" s="686"/>
      <c r="G240" s="687"/>
      <c r="H240" s="522" t="s">
        <v>634</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91"/>
      <c r="AO240" s="663"/>
      <c r="AP240" s="667"/>
      <c r="AQ240" s="668"/>
      <c r="AR240" s="663"/>
      <c r="AS240" s="663"/>
      <c r="AT240" s="671"/>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4"/>
      <c r="B241" s="677"/>
      <c r="C241" s="695"/>
      <c r="D241" s="683"/>
      <c r="E241" s="521"/>
      <c r="F241" s="688"/>
      <c r="G241" s="689"/>
      <c r="H241" s="525" t="s">
        <v>635</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92"/>
      <c r="AO241" s="664"/>
      <c r="AP241" s="669"/>
      <c r="AQ241" s="670"/>
      <c r="AR241" s="664"/>
      <c r="AS241" s="664"/>
      <c r="AT241" s="671"/>
      <c r="AU241" s="527"/>
      <c r="AV241" s="527"/>
      <c r="AX241" s="527"/>
      <c r="AY241" s="527"/>
    </row>
    <row r="242" spans="1:51" s="500" customFormat="1" ht="12" customHeight="1">
      <c r="A242" s="672">
        <v>74</v>
      </c>
      <c r="B242" s="675"/>
      <c r="C242" s="693"/>
      <c r="D242" s="681" t="s">
        <v>628</v>
      </c>
      <c r="E242" s="517"/>
      <c r="F242" s="684"/>
      <c r="G242" s="685"/>
      <c r="H242" s="518" t="s">
        <v>629</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90">
        <f t="shared" ref="AN242" si="354">IF(LEFT($AN$1,6)="共同生活援助",SUM(I243:AM243),SUM(I243:AM244))</f>
        <v>0</v>
      </c>
      <c r="AO242" s="662">
        <f>IF($AN$3="４週",AN242/4,AN242/(DAY(EOMONTH($I$21,0))/7))</f>
        <v>0</v>
      </c>
      <c r="AP242" s="665"/>
      <c r="AQ242" s="666"/>
      <c r="AR242" s="662" t="str">
        <f t="shared" ref="AR242" si="355">IF($AN$3="４週",AU243,AV243)</f>
        <v/>
      </c>
      <c r="AS242" s="662"/>
      <c r="AT242" s="671" t="str">
        <f t="shared" ref="AT242" si="356">IF(AX243&lt;=1.1,"",IF(AY243&lt;=1.1,"",IF(F242="","","勤務時間"&amp;CHAR(10)&amp;"OVER")))</f>
        <v/>
      </c>
      <c r="AU242" s="520" t="s">
        <v>630</v>
      </c>
      <c r="AV242" s="520" t="s">
        <v>631</v>
      </c>
      <c r="AX242" s="520" t="s">
        <v>632</v>
      </c>
      <c r="AY242" s="520" t="s">
        <v>633</v>
      </c>
    </row>
    <row r="243" spans="1:51" s="500" customFormat="1" ht="12" customHeight="1">
      <c r="A243" s="673"/>
      <c r="B243" s="676"/>
      <c r="C243" s="694"/>
      <c r="D243" s="682"/>
      <c r="E243" s="521"/>
      <c r="F243" s="686"/>
      <c r="G243" s="687"/>
      <c r="H243" s="522" t="s">
        <v>634</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91"/>
      <c r="AO243" s="663"/>
      <c r="AP243" s="667"/>
      <c r="AQ243" s="668"/>
      <c r="AR243" s="663"/>
      <c r="AS243" s="663"/>
      <c r="AT243" s="671"/>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4"/>
      <c r="B244" s="677"/>
      <c r="C244" s="695"/>
      <c r="D244" s="683"/>
      <c r="E244" s="521"/>
      <c r="F244" s="688"/>
      <c r="G244" s="689"/>
      <c r="H244" s="525" t="s">
        <v>635</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92"/>
      <c r="AO244" s="664"/>
      <c r="AP244" s="669"/>
      <c r="AQ244" s="670"/>
      <c r="AR244" s="664"/>
      <c r="AS244" s="664"/>
      <c r="AT244" s="671"/>
      <c r="AU244" s="527"/>
      <c r="AV244" s="527"/>
      <c r="AX244" s="527"/>
      <c r="AY244" s="527"/>
    </row>
    <row r="245" spans="1:51" s="500" customFormat="1" ht="12" customHeight="1">
      <c r="A245" s="672">
        <v>75</v>
      </c>
      <c r="B245" s="675"/>
      <c r="C245" s="693"/>
      <c r="D245" s="681" t="s">
        <v>628</v>
      </c>
      <c r="E245" s="517"/>
      <c r="F245" s="684"/>
      <c r="G245" s="685"/>
      <c r="H245" s="518" t="s">
        <v>629</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90">
        <f t="shared" ref="AN245" si="359">IF(LEFT($AN$1,6)="共同生活援助",SUM(I246:AM246),SUM(I246:AM247))</f>
        <v>0</v>
      </c>
      <c r="AO245" s="662">
        <f>IF($AN$3="４週",AN245/4,AN245/(DAY(EOMONTH($I$21,0))/7))</f>
        <v>0</v>
      </c>
      <c r="AP245" s="665"/>
      <c r="AQ245" s="666"/>
      <c r="AR245" s="662" t="str">
        <f t="shared" ref="AR245" si="360">IF($AN$3="４週",AU246,AV246)</f>
        <v/>
      </c>
      <c r="AS245" s="662"/>
      <c r="AT245" s="671" t="str">
        <f t="shared" ref="AT245" si="361">IF(AX246&lt;=1.1,"",IF(AY246&lt;=1.1,"",IF(F245="","","勤務時間"&amp;CHAR(10)&amp;"OVER")))</f>
        <v/>
      </c>
      <c r="AU245" s="520" t="s">
        <v>630</v>
      </c>
      <c r="AV245" s="520" t="s">
        <v>631</v>
      </c>
      <c r="AX245" s="520" t="s">
        <v>632</v>
      </c>
      <c r="AY245" s="520" t="s">
        <v>633</v>
      </c>
    </row>
    <row r="246" spans="1:51" s="500" customFormat="1" ht="12" customHeight="1">
      <c r="A246" s="673"/>
      <c r="B246" s="676"/>
      <c r="C246" s="694"/>
      <c r="D246" s="682"/>
      <c r="E246" s="521"/>
      <c r="F246" s="686"/>
      <c r="G246" s="687"/>
      <c r="H246" s="522" t="s">
        <v>634</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91"/>
      <c r="AO246" s="663"/>
      <c r="AP246" s="667"/>
      <c r="AQ246" s="668"/>
      <c r="AR246" s="663"/>
      <c r="AS246" s="663"/>
      <c r="AT246" s="671"/>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4"/>
      <c r="B247" s="677"/>
      <c r="C247" s="695"/>
      <c r="D247" s="683"/>
      <c r="E247" s="521"/>
      <c r="F247" s="688"/>
      <c r="G247" s="689"/>
      <c r="H247" s="525" t="s">
        <v>635</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92"/>
      <c r="AO247" s="664"/>
      <c r="AP247" s="669"/>
      <c r="AQ247" s="670"/>
      <c r="AR247" s="664"/>
      <c r="AS247" s="664"/>
      <c r="AT247" s="671"/>
      <c r="AU247" s="527"/>
      <c r="AV247" s="527"/>
      <c r="AX247" s="527"/>
      <c r="AY247" s="527"/>
    </row>
    <row r="248" spans="1:51" s="500" customFormat="1" ht="12" customHeight="1">
      <c r="A248" s="672">
        <v>76</v>
      </c>
      <c r="B248" s="675"/>
      <c r="C248" s="693"/>
      <c r="D248" s="681" t="s">
        <v>628</v>
      </c>
      <c r="E248" s="517"/>
      <c r="F248" s="684"/>
      <c r="G248" s="685"/>
      <c r="H248" s="518" t="s">
        <v>629</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90">
        <f t="shared" ref="AN248" si="364">IF(LEFT($AN$1,6)="共同生活援助",SUM(I249:AM249),SUM(I249:AM250))</f>
        <v>0</v>
      </c>
      <c r="AO248" s="662">
        <f>IF($AN$3="４週",AN248/4,AN248/(DAY(EOMONTH($I$21,0))/7))</f>
        <v>0</v>
      </c>
      <c r="AP248" s="665"/>
      <c r="AQ248" s="666"/>
      <c r="AR248" s="662" t="str">
        <f t="shared" ref="AR248" si="365">IF($AN$3="４週",AU249,AV249)</f>
        <v/>
      </c>
      <c r="AS248" s="662"/>
      <c r="AT248" s="671" t="str">
        <f t="shared" ref="AT248" si="366">IF(AX249&lt;=1.1,"",IF(AY249&lt;=1.1,"",IF(F248="","","勤務時間"&amp;CHAR(10)&amp;"OVER")))</f>
        <v/>
      </c>
      <c r="AU248" s="520" t="s">
        <v>630</v>
      </c>
      <c r="AV248" s="520" t="s">
        <v>631</v>
      </c>
      <c r="AX248" s="520" t="s">
        <v>632</v>
      </c>
      <c r="AY248" s="520" t="s">
        <v>633</v>
      </c>
    </row>
    <row r="249" spans="1:51" s="500" customFormat="1" ht="12" customHeight="1">
      <c r="A249" s="673"/>
      <c r="B249" s="676"/>
      <c r="C249" s="694"/>
      <c r="D249" s="682"/>
      <c r="E249" s="521"/>
      <c r="F249" s="686"/>
      <c r="G249" s="687"/>
      <c r="H249" s="522" t="s">
        <v>634</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91"/>
      <c r="AO249" s="663"/>
      <c r="AP249" s="667"/>
      <c r="AQ249" s="668"/>
      <c r="AR249" s="663"/>
      <c r="AS249" s="663"/>
      <c r="AT249" s="671"/>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4"/>
      <c r="B250" s="677"/>
      <c r="C250" s="695"/>
      <c r="D250" s="683"/>
      <c r="E250" s="521"/>
      <c r="F250" s="688"/>
      <c r="G250" s="689"/>
      <c r="H250" s="525" t="s">
        <v>635</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92"/>
      <c r="AO250" s="664"/>
      <c r="AP250" s="669"/>
      <c r="AQ250" s="670"/>
      <c r="AR250" s="664"/>
      <c r="AS250" s="664"/>
      <c r="AT250" s="671"/>
      <c r="AU250" s="527"/>
      <c r="AV250" s="527"/>
      <c r="AX250" s="527"/>
      <c r="AY250" s="527"/>
    </row>
    <row r="251" spans="1:51" s="500" customFormat="1" ht="12" customHeight="1">
      <c r="A251" s="672">
        <v>77</v>
      </c>
      <c r="B251" s="675"/>
      <c r="C251" s="693"/>
      <c r="D251" s="681" t="s">
        <v>628</v>
      </c>
      <c r="E251" s="517"/>
      <c r="F251" s="684"/>
      <c r="G251" s="685"/>
      <c r="H251" s="518" t="s">
        <v>629</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90">
        <f t="shared" ref="AN251" si="369">IF(LEFT($AN$1,6)="共同生活援助",SUM(I252:AM252),SUM(I252:AM253))</f>
        <v>0</v>
      </c>
      <c r="AO251" s="662">
        <f>IF($AN$3="４週",AN251/4,AN251/(DAY(EOMONTH($I$21,0))/7))</f>
        <v>0</v>
      </c>
      <c r="AP251" s="665"/>
      <c r="AQ251" s="666"/>
      <c r="AR251" s="662" t="str">
        <f t="shared" ref="AR251" si="370">IF($AN$3="４週",AU252,AV252)</f>
        <v/>
      </c>
      <c r="AS251" s="662"/>
      <c r="AT251" s="671" t="str">
        <f t="shared" ref="AT251" si="371">IF(AX252&lt;=1.1,"",IF(AY252&lt;=1.1,"",IF(F251="","","勤務時間"&amp;CHAR(10)&amp;"OVER")))</f>
        <v/>
      </c>
      <c r="AU251" s="520" t="s">
        <v>630</v>
      </c>
      <c r="AV251" s="520" t="s">
        <v>631</v>
      </c>
      <c r="AX251" s="520" t="s">
        <v>632</v>
      </c>
      <c r="AY251" s="520" t="s">
        <v>633</v>
      </c>
    </row>
    <row r="252" spans="1:51" s="500" customFormat="1" ht="12" customHeight="1">
      <c r="A252" s="673"/>
      <c r="B252" s="676"/>
      <c r="C252" s="694"/>
      <c r="D252" s="682"/>
      <c r="E252" s="521"/>
      <c r="F252" s="686"/>
      <c r="G252" s="687"/>
      <c r="H252" s="522" t="s">
        <v>634</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91"/>
      <c r="AO252" s="663"/>
      <c r="AP252" s="667"/>
      <c r="AQ252" s="668"/>
      <c r="AR252" s="663"/>
      <c r="AS252" s="663"/>
      <c r="AT252" s="671"/>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4"/>
      <c r="B253" s="677"/>
      <c r="C253" s="695"/>
      <c r="D253" s="683"/>
      <c r="E253" s="521"/>
      <c r="F253" s="688"/>
      <c r="G253" s="689"/>
      <c r="H253" s="525" t="s">
        <v>635</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92"/>
      <c r="AO253" s="664"/>
      <c r="AP253" s="669"/>
      <c r="AQ253" s="670"/>
      <c r="AR253" s="664"/>
      <c r="AS253" s="664"/>
      <c r="AT253" s="671"/>
      <c r="AU253" s="527"/>
      <c r="AV253" s="527"/>
      <c r="AX253" s="527"/>
      <c r="AY253" s="527"/>
    </row>
    <row r="254" spans="1:51" s="500" customFormat="1" ht="12" customHeight="1">
      <c r="A254" s="672">
        <v>78</v>
      </c>
      <c r="B254" s="675"/>
      <c r="C254" s="693"/>
      <c r="D254" s="681" t="s">
        <v>628</v>
      </c>
      <c r="E254" s="517"/>
      <c r="F254" s="684"/>
      <c r="G254" s="685"/>
      <c r="H254" s="518" t="s">
        <v>629</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90">
        <f t="shared" ref="AN254" si="374">IF(LEFT($AN$1,6)="共同生活援助",SUM(I255:AM255),SUM(I255:AM256))</f>
        <v>0</v>
      </c>
      <c r="AO254" s="662">
        <f>IF($AN$3="４週",AN254/4,AN254/(DAY(EOMONTH($I$21,0))/7))</f>
        <v>0</v>
      </c>
      <c r="AP254" s="665"/>
      <c r="AQ254" s="666"/>
      <c r="AR254" s="662" t="str">
        <f t="shared" ref="AR254" si="375">IF($AN$3="４週",AU255,AV255)</f>
        <v/>
      </c>
      <c r="AS254" s="662"/>
      <c r="AT254" s="671" t="str">
        <f t="shared" ref="AT254" si="376">IF(AX255&lt;=1.1,"",IF(AY255&lt;=1.1,"",IF(F254="","","勤務時間"&amp;CHAR(10)&amp;"OVER")))</f>
        <v/>
      </c>
      <c r="AU254" s="520" t="s">
        <v>630</v>
      </c>
      <c r="AV254" s="520" t="s">
        <v>631</v>
      </c>
      <c r="AX254" s="520" t="s">
        <v>632</v>
      </c>
      <c r="AY254" s="520" t="s">
        <v>633</v>
      </c>
    </row>
    <row r="255" spans="1:51" s="500" customFormat="1" ht="12" customHeight="1">
      <c r="A255" s="673"/>
      <c r="B255" s="676"/>
      <c r="C255" s="694"/>
      <c r="D255" s="682"/>
      <c r="E255" s="521"/>
      <c r="F255" s="686"/>
      <c r="G255" s="687"/>
      <c r="H255" s="522" t="s">
        <v>634</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91"/>
      <c r="AO255" s="663"/>
      <c r="AP255" s="667"/>
      <c r="AQ255" s="668"/>
      <c r="AR255" s="663"/>
      <c r="AS255" s="663"/>
      <c r="AT255" s="671"/>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4"/>
      <c r="B256" s="677"/>
      <c r="C256" s="695"/>
      <c r="D256" s="683"/>
      <c r="E256" s="521"/>
      <c r="F256" s="688"/>
      <c r="G256" s="689"/>
      <c r="H256" s="525" t="s">
        <v>635</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92"/>
      <c r="AO256" s="664"/>
      <c r="AP256" s="669"/>
      <c r="AQ256" s="670"/>
      <c r="AR256" s="664"/>
      <c r="AS256" s="664"/>
      <c r="AT256" s="671"/>
      <c r="AU256" s="527"/>
      <c r="AV256" s="527"/>
      <c r="AX256" s="527"/>
      <c r="AY256" s="527"/>
    </row>
    <row r="257" spans="1:51" s="500" customFormat="1" ht="12" customHeight="1">
      <c r="A257" s="672">
        <v>79</v>
      </c>
      <c r="B257" s="675"/>
      <c r="C257" s="693"/>
      <c r="D257" s="681" t="s">
        <v>628</v>
      </c>
      <c r="E257" s="517"/>
      <c r="F257" s="684"/>
      <c r="G257" s="685"/>
      <c r="H257" s="518" t="s">
        <v>629</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90">
        <f t="shared" ref="AN257" si="379">IF(LEFT($AN$1,6)="共同生活援助",SUM(I258:AM258),SUM(I258:AM259))</f>
        <v>0</v>
      </c>
      <c r="AO257" s="662">
        <f>IF($AN$3="４週",AN257/4,AN257/(DAY(EOMONTH($I$21,0))/7))</f>
        <v>0</v>
      </c>
      <c r="AP257" s="665"/>
      <c r="AQ257" s="666"/>
      <c r="AR257" s="662" t="str">
        <f t="shared" ref="AR257" si="380">IF($AN$3="４週",AU258,AV258)</f>
        <v/>
      </c>
      <c r="AS257" s="662"/>
      <c r="AT257" s="671" t="str">
        <f t="shared" ref="AT257" si="381">IF(AX258&lt;=1.1,"",IF(AY258&lt;=1.1,"",IF(F257="","","勤務時間"&amp;CHAR(10)&amp;"OVER")))</f>
        <v/>
      </c>
      <c r="AU257" s="520" t="s">
        <v>630</v>
      </c>
      <c r="AV257" s="520" t="s">
        <v>631</v>
      </c>
      <c r="AX257" s="520" t="s">
        <v>632</v>
      </c>
      <c r="AY257" s="520" t="s">
        <v>633</v>
      </c>
    </row>
    <row r="258" spans="1:51" s="500" customFormat="1" ht="12" customHeight="1">
      <c r="A258" s="673"/>
      <c r="B258" s="676"/>
      <c r="C258" s="694"/>
      <c r="D258" s="682"/>
      <c r="E258" s="521"/>
      <c r="F258" s="686"/>
      <c r="G258" s="687"/>
      <c r="H258" s="522" t="s">
        <v>634</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91"/>
      <c r="AO258" s="663"/>
      <c r="AP258" s="667"/>
      <c r="AQ258" s="668"/>
      <c r="AR258" s="663"/>
      <c r="AS258" s="663"/>
      <c r="AT258" s="671"/>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4"/>
      <c r="B259" s="677"/>
      <c r="C259" s="695"/>
      <c r="D259" s="683"/>
      <c r="E259" s="521"/>
      <c r="F259" s="688"/>
      <c r="G259" s="689"/>
      <c r="H259" s="525" t="s">
        <v>635</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92"/>
      <c r="AO259" s="664"/>
      <c r="AP259" s="669"/>
      <c r="AQ259" s="670"/>
      <c r="AR259" s="664"/>
      <c r="AS259" s="664"/>
      <c r="AT259" s="671"/>
      <c r="AU259" s="527"/>
      <c r="AV259" s="527"/>
      <c r="AX259" s="527"/>
      <c r="AY259" s="527"/>
    </row>
    <row r="260" spans="1:51" s="500" customFormat="1" ht="12" customHeight="1">
      <c r="A260" s="672">
        <v>80</v>
      </c>
      <c r="B260" s="675"/>
      <c r="C260" s="693"/>
      <c r="D260" s="681" t="s">
        <v>628</v>
      </c>
      <c r="E260" s="517"/>
      <c r="F260" s="684"/>
      <c r="G260" s="685"/>
      <c r="H260" s="518" t="s">
        <v>629</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90">
        <f t="shared" ref="AN260" si="384">IF(LEFT($AN$1,6)="共同生活援助",SUM(I261:AM261),SUM(I261:AM262))</f>
        <v>0</v>
      </c>
      <c r="AO260" s="662">
        <f>IF($AN$3="４週",AN260/4,AN260/(DAY(EOMONTH($I$21,0))/7))</f>
        <v>0</v>
      </c>
      <c r="AP260" s="665"/>
      <c r="AQ260" s="666"/>
      <c r="AR260" s="662" t="str">
        <f t="shared" ref="AR260" si="385">IF($AN$3="４週",AU261,AV261)</f>
        <v/>
      </c>
      <c r="AS260" s="662"/>
      <c r="AT260" s="671" t="str">
        <f t="shared" ref="AT260" si="386">IF(AX261&lt;=1.1,"",IF(AY261&lt;=1.1,"",IF(F260="","","勤務時間"&amp;CHAR(10)&amp;"OVER")))</f>
        <v/>
      </c>
      <c r="AU260" s="520" t="s">
        <v>630</v>
      </c>
      <c r="AV260" s="520" t="s">
        <v>631</v>
      </c>
      <c r="AX260" s="520" t="s">
        <v>632</v>
      </c>
      <c r="AY260" s="520" t="s">
        <v>633</v>
      </c>
    </row>
    <row r="261" spans="1:51" s="500" customFormat="1" ht="12" customHeight="1">
      <c r="A261" s="673"/>
      <c r="B261" s="676"/>
      <c r="C261" s="694"/>
      <c r="D261" s="682"/>
      <c r="E261" s="521"/>
      <c r="F261" s="686"/>
      <c r="G261" s="687"/>
      <c r="H261" s="522" t="s">
        <v>634</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91"/>
      <c r="AO261" s="663"/>
      <c r="AP261" s="667"/>
      <c r="AQ261" s="668"/>
      <c r="AR261" s="663"/>
      <c r="AS261" s="663"/>
      <c r="AT261" s="671"/>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4"/>
      <c r="B262" s="677"/>
      <c r="C262" s="695"/>
      <c r="D262" s="683"/>
      <c r="E262" s="521"/>
      <c r="F262" s="688"/>
      <c r="G262" s="689"/>
      <c r="H262" s="525" t="s">
        <v>635</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92"/>
      <c r="AO262" s="664"/>
      <c r="AP262" s="669"/>
      <c r="AQ262" s="670"/>
      <c r="AR262" s="664"/>
      <c r="AS262" s="664"/>
      <c r="AT262" s="671"/>
      <c r="AU262" s="527"/>
      <c r="AV262" s="527"/>
      <c r="AX262" s="527"/>
      <c r="AY262" s="527"/>
    </row>
    <row r="263" spans="1:51" s="500" customFormat="1" ht="12" customHeight="1">
      <c r="A263" s="672">
        <v>81</v>
      </c>
      <c r="B263" s="675"/>
      <c r="C263" s="693"/>
      <c r="D263" s="681" t="s">
        <v>628</v>
      </c>
      <c r="E263" s="517"/>
      <c r="F263" s="684"/>
      <c r="G263" s="685"/>
      <c r="H263" s="518" t="s">
        <v>629</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90">
        <f t="shared" ref="AN263" si="389">IF(LEFT($AN$1,6)="共同生活援助",SUM(I264:AM264),SUM(I264:AM265))</f>
        <v>0</v>
      </c>
      <c r="AO263" s="662">
        <f>IF($AN$3="４週",AN263/4,AN263/(DAY(EOMONTH($I$21,0))/7))</f>
        <v>0</v>
      </c>
      <c r="AP263" s="665"/>
      <c r="AQ263" s="666"/>
      <c r="AR263" s="662" t="str">
        <f t="shared" ref="AR263" si="390">IF($AN$3="４週",AU264,AV264)</f>
        <v/>
      </c>
      <c r="AS263" s="662"/>
      <c r="AT263" s="671" t="str">
        <f t="shared" ref="AT263" si="391">IF(AX264&lt;=1.1,"",IF(AY264&lt;=1.1,"",IF(F263="","","勤務時間"&amp;CHAR(10)&amp;"OVER")))</f>
        <v/>
      </c>
      <c r="AU263" s="520" t="s">
        <v>630</v>
      </c>
      <c r="AV263" s="520" t="s">
        <v>631</v>
      </c>
      <c r="AX263" s="520" t="s">
        <v>632</v>
      </c>
      <c r="AY263" s="520" t="s">
        <v>633</v>
      </c>
    </row>
    <row r="264" spans="1:51" s="500" customFormat="1" ht="12" customHeight="1">
      <c r="A264" s="673"/>
      <c r="B264" s="676"/>
      <c r="C264" s="694"/>
      <c r="D264" s="682"/>
      <c r="E264" s="521"/>
      <c r="F264" s="686"/>
      <c r="G264" s="687"/>
      <c r="H264" s="522" t="s">
        <v>634</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91"/>
      <c r="AO264" s="663"/>
      <c r="AP264" s="667"/>
      <c r="AQ264" s="668"/>
      <c r="AR264" s="663"/>
      <c r="AS264" s="663"/>
      <c r="AT264" s="671"/>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4"/>
      <c r="B265" s="677"/>
      <c r="C265" s="695"/>
      <c r="D265" s="683"/>
      <c r="E265" s="521"/>
      <c r="F265" s="688"/>
      <c r="G265" s="689"/>
      <c r="H265" s="525" t="s">
        <v>635</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92"/>
      <c r="AO265" s="664"/>
      <c r="AP265" s="669"/>
      <c r="AQ265" s="670"/>
      <c r="AR265" s="664"/>
      <c r="AS265" s="664"/>
      <c r="AT265" s="671"/>
      <c r="AU265" s="527"/>
      <c r="AV265" s="527"/>
      <c r="AX265" s="527"/>
      <c r="AY265" s="527"/>
    </row>
    <row r="266" spans="1:51" s="500" customFormat="1" ht="12" customHeight="1">
      <c r="A266" s="672">
        <v>82</v>
      </c>
      <c r="B266" s="675"/>
      <c r="C266" s="693"/>
      <c r="D266" s="681" t="s">
        <v>628</v>
      </c>
      <c r="E266" s="517"/>
      <c r="F266" s="684"/>
      <c r="G266" s="685"/>
      <c r="H266" s="518" t="s">
        <v>629</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90">
        <f t="shared" ref="AN266" si="394">IF(LEFT($AN$1,6)="共同生活援助",SUM(I267:AM267),SUM(I267:AM268))</f>
        <v>0</v>
      </c>
      <c r="AO266" s="662">
        <f>IF($AN$3="４週",AN266/4,AN266/(DAY(EOMONTH($I$21,0))/7))</f>
        <v>0</v>
      </c>
      <c r="AP266" s="665"/>
      <c r="AQ266" s="666"/>
      <c r="AR266" s="662" t="str">
        <f t="shared" ref="AR266" si="395">IF($AN$3="４週",AU267,AV267)</f>
        <v/>
      </c>
      <c r="AS266" s="662"/>
      <c r="AT266" s="671" t="str">
        <f t="shared" ref="AT266" si="396">IF(AX267&lt;=1.1,"",IF(AY267&lt;=1.1,"",IF(F266="","","勤務時間"&amp;CHAR(10)&amp;"OVER")))</f>
        <v/>
      </c>
      <c r="AU266" s="520" t="s">
        <v>630</v>
      </c>
      <c r="AV266" s="520" t="s">
        <v>631</v>
      </c>
      <c r="AX266" s="520" t="s">
        <v>632</v>
      </c>
      <c r="AY266" s="520" t="s">
        <v>633</v>
      </c>
    </row>
    <row r="267" spans="1:51" s="500" customFormat="1" ht="12" customHeight="1">
      <c r="A267" s="673"/>
      <c r="B267" s="676"/>
      <c r="C267" s="694"/>
      <c r="D267" s="682"/>
      <c r="E267" s="521"/>
      <c r="F267" s="686"/>
      <c r="G267" s="687"/>
      <c r="H267" s="522" t="s">
        <v>634</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91"/>
      <c r="AO267" s="663"/>
      <c r="AP267" s="667"/>
      <c r="AQ267" s="668"/>
      <c r="AR267" s="663"/>
      <c r="AS267" s="663"/>
      <c r="AT267" s="671"/>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4"/>
      <c r="B268" s="677"/>
      <c r="C268" s="695"/>
      <c r="D268" s="683"/>
      <c r="E268" s="521"/>
      <c r="F268" s="688"/>
      <c r="G268" s="689"/>
      <c r="H268" s="525" t="s">
        <v>635</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92"/>
      <c r="AO268" s="664"/>
      <c r="AP268" s="669"/>
      <c r="AQ268" s="670"/>
      <c r="AR268" s="664"/>
      <c r="AS268" s="664"/>
      <c r="AT268" s="671"/>
      <c r="AU268" s="527"/>
      <c r="AV268" s="527"/>
      <c r="AX268" s="527"/>
      <c r="AY268" s="527"/>
    </row>
    <row r="269" spans="1:51" s="500" customFormat="1" ht="12" customHeight="1">
      <c r="A269" s="672">
        <v>83</v>
      </c>
      <c r="B269" s="675"/>
      <c r="C269" s="693"/>
      <c r="D269" s="681" t="s">
        <v>628</v>
      </c>
      <c r="E269" s="517"/>
      <c r="F269" s="684"/>
      <c r="G269" s="685"/>
      <c r="H269" s="518" t="s">
        <v>629</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90">
        <f t="shared" ref="AN269" si="399">IF(LEFT($AN$1,6)="共同生活援助",SUM(I270:AM270),SUM(I270:AM271))</f>
        <v>0</v>
      </c>
      <c r="AO269" s="662">
        <f>IF($AN$3="４週",AN269/4,AN269/(DAY(EOMONTH($I$21,0))/7))</f>
        <v>0</v>
      </c>
      <c r="AP269" s="665"/>
      <c r="AQ269" s="666"/>
      <c r="AR269" s="662" t="str">
        <f t="shared" ref="AR269" si="400">IF($AN$3="４週",AU270,AV270)</f>
        <v/>
      </c>
      <c r="AS269" s="662"/>
      <c r="AT269" s="671" t="str">
        <f t="shared" ref="AT269" si="401">IF(AX270&lt;=1.1,"",IF(AY270&lt;=1.1,"",IF(F269="","","勤務時間"&amp;CHAR(10)&amp;"OVER")))</f>
        <v/>
      </c>
      <c r="AU269" s="520" t="s">
        <v>630</v>
      </c>
      <c r="AV269" s="520" t="s">
        <v>631</v>
      </c>
      <c r="AX269" s="520" t="s">
        <v>632</v>
      </c>
      <c r="AY269" s="520" t="s">
        <v>633</v>
      </c>
    </row>
    <row r="270" spans="1:51" s="500" customFormat="1" ht="12" customHeight="1">
      <c r="A270" s="673"/>
      <c r="B270" s="676"/>
      <c r="C270" s="694"/>
      <c r="D270" s="682"/>
      <c r="E270" s="521"/>
      <c r="F270" s="686"/>
      <c r="G270" s="687"/>
      <c r="H270" s="522" t="s">
        <v>634</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91"/>
      <c r="AO270" s="663"/>
      <c r="AP270" s="667"/>
      <c r="AQ270" s="668"/>
      <c r="AR270" s="663"/>
      <c r="AS270" s="663"/>
      <c r="AT270" s="671"/>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4"/>
      <c r="B271" s="677"/>
      <c r="C271" s="695"/>
      <c r="D271" s="683"/>
      <c r="E271" s="521"/>
      <c r="F271" s="688"/>
      <c r="G271" s="689"/>
      <c r="H271" s="525" t="s">
        <v>635</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92"/>
      <c r="AO271" s="664"/>
      <c r="AP271" s="669"/>
      <c r="AQ271" s="670"/>
      <c r="AR271" s="664"/>
      <c r="AS271" s="664"/>
      <c r="AT271" s="671"/>
      <c r="AU271" s="527"/>
      <c r="AV271" s="527"/>
      <c r="AX271" s="527"/>
      <c r="AY271" s="527"/>
    </row>
    <row r="272" spans="1:51" s="500" customFormat="1" ht="12" customHeight="1">
      <c r="A272" s="672">
        <v>84</v>
      </c>
      <c r="B272" s="675"/>
      <c r="C272" s="693"/>
      <c r="D272" s="681" t="s">
        <v>628</v>
      </c>
      <c r="E272" s="517"/>
      <c r="F272" s="684"/>
      <c r="G272" s="685"/>
      <c r="H272" s="518" t="s">
        <v>629</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90">
        <f t="shared" ref="AN272" si="404">IF(LEFT($AN$1,6)="共同生活援助",SUM(I273:AM273),SUM(I273:AM274))</f>
        <v>0</v>
      </c>
      <c r="AO272" s="662">
        <f>IF($AN$3="４週",AN272/4,AN272/(DAY(EOMONTH($I$21,0))/7))</f>
        <v>0</v>
      </c>
      <c r="AP272" s="665"/>
      <c r="AQ272" s="666"/>
      <c r="AR272" s="662" t="str">
        <f t="shared" ref="AR272" si="405">IF($AN$3="４週",AU273,AV273)</f>
        <v/>
      </c>
      <c r="AS272" s="662"/>
      <c r="AT272" s="671" t="str">
        <f t="shared" ref="AT272" si="406">IF(AX273&lt;=1.1,"",IF(AY273&lt;=1.1,"",IF(F272="","","勤務時間"&amp;CHAR(10)&amp;"OVER")))</f>
        <v/>
      </c>
      <c r="AU272" s="520" t="s">
        <v>630</v>
      </c>
      <c r="AV272" s="520" t="s">
        <v>631</v>
      </c>
      <c r="AX272" s="520" t="s">
        <v>632</v>
      </c>
      <c r="AY272" s="520" t="s">
        <v>633</v>
      </c>
    </row>
    <row r="273" spans="1:51" s="500" customFormat="1" ht="12" customHeight="1">
      <c r="A273" s="673"/>
      <c r="B273" s="676"/>
      <c r="C273" s="694"/>
      <c r="D273" s="682"/>
      <c r="E273" s="521"/>
      <c r="F273" s="686"/>
      <c r="G273" s="687"/>
      <c r="H273" s="522" t="s">
        <v>634</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91"/>
      <c r="AO273" s="663"/>
      <c r="AP273" s="667"/>
      <c r="AQ273" s="668"/>
      <c r="AR273" s="663"/>
      <c r="AS273" s="663"/>
      <c r="AT273" s="671"/>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4"/>
      <c r="B274" s="677"/>
      <c r="C274" s="695"/>
      <c r="D274" s="683"/>
      <c r="E274" s="521"/>
      <c r="F274" s="688"/>
      <c r="G274" s="689"/>
      <c r="H274" s="525" t="s">
        <v>635</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92"/>
      <c r="AO274" s="664"/>
      <c r="AP274" s="669"/>
      <c r="AQ274" s="670"/>
      <c r="AR274" s="664"/>
      <c r="AS274" s="664"/>
      <c r="AT274" s="671"/>
      <c r="AU274" s="527"/>
      <c r="AV274" s="527"/>
      <c r="AX274" s="527"/>
      <c r="AY274" s="527"/>
    </row>
    <row r="275" spans="1:51" s="500" customFormat="1" ht="12" customHeight="1">
      <c r="A275" s="672">
        <v>85</v>
      </c>
      <c r="B275" s="675"/>
      <c r="C275" s="693"/>
      <c r="D275" s="681" t="s">
        <v>628</v>
      </c>
      <c r="E275" s="517"/>
      <c r="F275" s="684"/>
      <c r="G275" s="685"/>
      <c r="H275" s="518" t="s">
        <v>629</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90">
        <f t="shared" ref="AN275" si="409">IF(LEFT($AN$1,6)="共同生活援助",SUM(I276:AM276),SUM(I276:AM277))</f>
        <v>0</v>
      </c>
      <c r="AO275" s="662">
        <f>IF($AN$3="４週",AN275/4,AN275/(DAY(EOMONTH($I$21,0))/7))</f>
        <v>0</v>
      </c>
      <c r="AP275" s="665"/>
      <c r="AQ275" s="666"/>
      <c r="AR275" s="662" t="str">
        <f t="shared" ref="AR275" si="410">IF($AN$3="４週",AU276,AV276)</f>
        <v/>
      </c>
      <c r="AS275" s="662"/>
      <c r="AT275" s="671" t="str">
        <f t="shared" ref="AT275" si="411">IF(AX276&lt;=1.1,"",IF(AY276&lt;=1.1,"",IF(F275="","","勤務時間"&amp;CHAR(10)&amp;"OVER")))</f>
        <v/>
      </c>
      <c r="AU275" s="520" t="s">
        <v>630</v>
      </c>
      <c r="AV275" s="520" t="s">
        <v>631</v>
      </c>
      <c r="AX275" s="520" t="s">
        <v>632</v>
      </c>
      <c r="AY275" s="520" t="s">
        <v>633</v>
      </c>
    </row>
    <row r="276" spans="1:51" s="500" customFormat="1" ht="12" customHeight="1">
      <c r="A276" s="673"/>
      <c r="B276" s="676"/>
      <c r="C276" s="694"/>
      <c r="D276" s="682"/>
      <c r="E276" s="521"/>
      <c r="F276" s="686"/>
      <c r="G276" s="687"/>
      <c r="H276" s="522" t="s">
        <v>634</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91"/>
      <c r="AO276" s="663"/>
      <c r="AP276" s="667"/>
      <c r="AQ276" s="668"/>
      <c r="AR276" s="663"/>
      <c r="AS276" s="663"/>
      <c r="AT276" s="671"/>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4"/>
      <c r="B277" s="677"/>
      <c r="C277" s="695"/>
      <c r="D277" s="683"/>
      <c r="E277" s="521"/>
      <c r="F277" s="688"/>
      <c r="G277" s="689"/>
      <c r="H277" s="525" t="s">
        <v>635</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92"/>
      <c r="AO277" s="664"/>
      <c r="AP277" s="669"/>
      <c r="AQ277" s="670"/>
      <c r="AR277" s="664"/>
      <c r="AS277" s="664"/>
      <c r="AT277" s="671"/>
      <c r="AU277" s="527"/>
      <c r="AV277" s="527"/>
      <c r="AX277" s="527"/>
      <c r="AY277" s="527"/>
    </row>
    <row r="278" spans="1:51" s="500" customFormat="1" ht="12" customHeight="1">
      <c r="A278" s="672">
        <v>86</v>
      </c>
      <c r="B278" s="675"/>
      <c r="C278" s="693"/>
      <c r="D278" s="681" t="s">
        <v>628</v>
      </c>
      <c r="E278" s="517"/>
      <c r="F278" s="684"/>
      <c r="G278" s="685"/>
      <c r="H278" s="518" t="s">
        <v>629</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90">
        <f t="shared" ref="AN278" si="414">IF(LEFT($AN$1,6)="共同生活援助",SUM(I279:AM279),SUM(I279:AM280))</f>
        <v>0</v>
      </c>
      <c r="AO278" s="662">
        <f>IF($AN$3="４週",AN278/4,AN278/(DAY(EOMONTH($I$21,0))/7))</f>
        <v>0</v>
      </c>
      <c r="AP278" s="665"/>
      <c r="AQ278" s="666"/>
      <c r="AR278" s="662" t="str">
        <f t="shared" ref="AR278" si="415">IF($AN$3="４週",AU279,AV279)</f>
        <v/>
      </c>
      <c r="AS278" s="662"/>
      <c r="AT278" s="671" t="str">
        <f t="shared" ref="AT278" si="416">IF(AX279&lt;=1.1,"",IF(AY279&lt;=1.1,"",IF(F278="","","勤務時間"&amp;CHAR(10)&amp;"OVER")))</f>
        <v/>
      </c>
      <c r="AU278" s="520" t="s">
        <v>630</v>
      </c>
      <c r="AV278" s="520" t="s">
        <v>631</v>
      </c>
      <c r="AX278" s="520" t="s">
        <v>632</v>
      </c>
      <c r="AY278" s="520" t="s">
        <v>633</v>
      </c>
    </row>
    <row r="279" spans="1:51" s="500" customFormat="1" ht="12" customHeight="1">
      <c r="A279" s="673"/>
      <c r="B279" s="676"/>
      <c r="C279" s="694"/>
      <c r="D279" s="682"/>
      <c r="E279" s="521"/>
      <c r="F279" s="686"/>
      <c r="G279" s="687"/>
      <c r="H279" s="522" t="s">
        <v>634</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91"/>
      <c r="AO279" s="663"/>
      <c r="AP279" s="667"/>
      <c r="AQ279" s="668"/>
      <c r="AR279" s="663"/>
      <c r="AS279" s="663"/>
      <c r="AT279" s="671"/>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4"/>
      <c r="B280" s="677"/>
      <c r="C280" s="695"/>
      <c r="D280" s="683"/>
      <c r="E280" s="521"/>
      <c r="F280" s="688"/>
      <c r="G280" s="689"/>
      <c r="H280" s="525" t="s">
        <v>635</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92"/>
      <c r="AO280" s="664"/>
      <c r="AP280" s="669"/>
      <c r="AQ280" s="670"/>
      <c r="AR280" s="664"/>
      <c r="AS280" s="664"/>
      <c r="AT280" s="671"/>
      <c r="AU280" s="527"/>
      <c r="AV280" s="527"/>
      <c r="AX280" s="527"/>
      <c r="AY280" s="527"/>
    </row>
    <row r="281" spans="1:51" s="500" customFormat="1" ht="12" customHeight="1">
      <c r="A281" s="672">
        <v>87</v>
      </c>
      <c r="B281" s="675"/>
      <c r="C281" s="693"/>
      <c r="D281" s="681" t="s">
        <v>628</v>
      </c>
      <c r="E281" s="517"/>
      <c r="F281" s="684"/>
      <c r="G281" s="685"/>
      <c r="H281" s="518" t="s">
        <v>629</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90">
        <f t="shared" ref="AN281" si="419">IF(LEFT($AN$1,6)="共同生活援助",SUM(I282:AM282),SUM(I282:AM283))</f>
        <v>0</v>
      </c>
      <c r="AO281" s="662">
        <f>IF($AN$3="４週",AN281/4,AN281/(DAY(EOMONTH($I$21,0))/7))</f>
        <v>0</v>
      </c>
      <c r="AP281" s="665"/>
      <c r="AQ281" s="666"/>
      <c r="AR281" s="662" t="str">
        <f t="shared" ref="AR281" si="420">IF($AN$3="４週",AU282,AV282)</f>
        <v/>
      </c>
      <c r="AS281" s="662"/>
      <c r="AT281" s="671" t="str">
        <f t="shared" ref="AT281" si="421">IF(AX282&lt;=1.1,"",IF(AY282&lt;=1.1,"",IF(F281="","","勤務時間"&amp;CHAR(10)&amp;"OVER")))</f>
        <v/>
      </c>
      <c r="AU281" s="520" t="s">
        <v>630</v>
      </c>
      <c r="AV281" s="520" t="s">
        <v>631</v>
      </c>
      <c r="AX281" s="520" t="s">
        <v>632</v>
      </c>
      <c r="AY281" s="520" t="s">
        <v>633</v>
      </c>
    </row>
    <row r="282" spans="1:51" s="500" customFormat="1" ht="12" customHeight="1">
      <c r="A282" s="673"/>
      <c r="B282" s="676"/>
      <c r="C282" s="694"/>
      <c r="D282" s="682"/>
      <c r="E282" s="521"/>
      <c r="F282" s="686"/>
      <c r="G282" s="687"/>
      <c r="H282" s="522" t="s">
        <v>634</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91"/>
      <c r="AO282" s="663"/>
      <c r="AP282" s="667"/>
      <c r="AQ282" s="668"/>
      <c r="AR282" s="663"/>
      <c r="AS282" s="663"/>
      <c r="AT282" s="671"/>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4"/>
      <c r="B283" s="677"/>
      <c r="C283" s="695"/>
      <c r="D283" s="683"/>
      <c r="E283" s="521"/>
      <c r="F283" s="688"/>
      <c r="G283" s="689"/>
      <c r="H283" s="525" t="s">
        <v>635</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92"/>
      <c r="AO283" s="664"/>
      <c r="AP283" s="669"/>
      <c r="AQ283" s="670"/>
      <c r="AR283" s="664"/>
      <c r="AS283" s="664"/>
      <c r="AT283" s="671"/>
      <c r="AU283" s="527"/>
      <c r="AV283" s="527"/>
      <c r="AX283" s="527"/>
      <c r="AY283" s="527"/>
    </row>
    <row r="284" spans="1:51" s="500" customFormat="1" ht="12" customHeight="1">
      <c r="A284" s="672">
        <v>88</v>
      </c>
      <c r="B284" s="675"/>
      <c r="C284" s="678"/>
      <c r="D284" s="681" t="s">
        <v>628</v>
      </c>
      <c r="E284" s="517"/>
      <c r="F284" s="684"/>
      <c r="G284" s="685"/>
      <c r="H284" s="518" t="s">
        <v>629</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90">
        <f t="shared" ref="AN284" si="424">IF(LEFT($AN$1,6)="共同生活援助",SUM(I285:AM285),SUM(I285:AM286))</f>
        <v>0</v>
      </c>
      <c r="AO284" s="662">
        <f>IF($AN$3="４週",AN284/4,AN284/(DAY(EOMONTH($I$21,0))/7))</f>
        <v>0</v>
      </c>
      <c r="AP284" s="665"/>
      <c r="AQ284" s="666"/>
      <c r="AR284" s="662" t="str">
        <f t="shared" ref="AR284" si="425">IF($AN$3="４週",AU285,AV285)</f>
        <v/>
      </c>
      <c r="AS284" s="662"/>
      <c r="AT284" s="671" t="str">
        <f t="shared" ref="AT284" si="426">IF(AX285&lt;=1.1,"",IF(AY285&lt;=1.1,"",IF(F284="","","勤務時間"&amp;CHAR(10)&amp;"OVER")))</f>
        <v/>
      </c>
      <c r="AU284" s="520" t="s">
        <v>630</v>
      </c>
      <c r="AV284" s="520" t="s">
        <v>631</v>
      </c>
      <c r="AX284" s="520" t="s">
        <v>632</v>
      </c>
      <c r="AY284" s="520" t="s">
        <v>633</v>
      </c>
    </row>
    <row r="285" spans="1:51" s="500" customFormat="1" ht="12" customHeight="1">
      <c r="A285" s="673"/>
      <c r="B285" s="676"/>
      <c r="C285" s="679"/>
      <c r="D285" s="682"/>
      <c r="E285" s="521"/>
      <c r="F285" s="686"/>
      <c r="G285" s="687"/>
      <c r="H285" s="522" t="s">
        <v>634</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91"/>
      <c r="AO285" s="663"/>
      <c r="AP285" s="667"/>
      <c r="AQ285" s="668"/>
      <c r="AR285" s="663"/>
      <c r="AS285" s="663"/>
      <c r="AT285" s="671"/>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4"/>
      <c r="B286" s="677"/>
      <c r="C286" s="680"/>
      <c r="D286" s="683"/>
      <c r="E286" s="521"/>
      <c r="F286" s="688"/>
      <c r="G286" s="689"/>
      <c r="H286" s="525" t="s">
        <v>635</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92"/>
      <c r="AO286" s="664"/>
      <c r="AP286" s="669"/>
      <c r="AQ286" s="670"/>
      <c r="AR286" s="664"/>
      <c r="AS286" s="664"/>
      <c r="AT286" s="671"/>
      <c r="AU286" s="527"/>
      <c r="AV286" s="527"/>
      <c r="AX286" s="527"/>
      <c r="AY286" s="527"/>
    </row>
    <row r="287" spans="1:51" s="500" customFormat="1" ht="12" customHeight="1">
      <c r="A287" s="672">
        <v>89</v>
      </c>
      <c r="B287" s="675"/>
      <c r="C287" s="693"/>
      <c r="D287" s="681" t="s">
        <v>628</v>
      </c>
      <c r="E287" s="517"/>
      <c r="F287" s="684"/>
      <c r="G287" s="685"/>
      <c r="H287" s="518" t="s">
        <v>629</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90">
        <f t="shared" ref="AN287" si="429">IF(LEFT($AN$1,6)="共同生活援助",SUM(I288:AM288),SUM(I288:AM289))</f>
        <v>0</v>
      </c>
      <c r="AO287" s="662">
        <f>IF($AN$3="４週",AN287/4,AN287/(DAY(EOMONTH($I$21,0))/7))</f>
        <v>0</v>
      </c>
      <c r="AP287" s="665"/>
      <c r="AQ287" s="666"/>
      <c r="AR287" s="662" t="str">
        <f t="shared" ref="AR287" si="430">IF($AN$3="４週",AU288,AV288)</f>
        <v/>
      </c>
      <c r="AS287" s="662"/>
      <c r="AT287" s="671" t="str">
        <f t="shared" ref="AT287" si="431">IF(AX288&lt;=1.1,"",IF(AY288&lt;=1.1,"",IF(F287="","","勤務時間"&amp;CHAR(10)&amp;"OVER")))</f>
        <v/>
      </c>
      <c r="AU287" s="520" t="s">
        <v>630</v>
      </c>
      <c r="AV287" s="520" t="s">
        <v>631</v>
      </c>
      <c r="AX287" s="520" t="s">
        <v>632</v>
      </c>
      <c r="AY287" s="520" t="s">
        <v>633</v>
      </c>
    </row>
    <row r="288" spans="1:51" s="500" customFormat="1" ht="12" customHeight="1">
      <c r="A288" s="673"/>
      <c r="B288" s="676"/>
      <c r="C288" s="694"/>
      <c r="D288" s="682"/>
      <c r="E288" s="521"/>
      <c r="F288" s="686"/>
      <c r="G288" s="687"/>
      <c r="H288" s="522" t="s">
        <v>634</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91"/>
      <c r="AO288" s="663"/>
      <c r="AP288" s="667"/>
      <c r="AQ288" s="668"/>
      <c r="AR288" s="663"/>
      <c r="AS288" s="663"/>
      <c r="AT288" s="671"/>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4"/>
      <c r="B289" s="677"/>
      <c r="C289" s="695"/>
      <c r="D289" s="683"/>
      <c r="E289" s="521"/>
      <c r="F289" s="688"/>
      <c r="G289" s="689"/>
      <c r="H289" s="525" t="s">
        <v>635</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92"/>
      <c r="AO289" s="664"/>
      <c r="AP289" s="669"/>
      <c r="AQ289" s="670"/>
      <c r="AR289" s="664"/>
      <c r="AS289" s="664"/>
      <c r="AT289" s="671"/>
      <c r="AU289" s="527"/>
      <c r="AV289" s="527"/>
      <c r="AX289" s="527"/>
      <c r="AY289" s="527"/>
    </row>
    <row r="290" spans="1:51" s="500" customFormat="1" ht="12" customHeight="1">
      <c r="A290" s="672">
        <v>90</v>
      </c>
      <c r="B290" s="675"/>
      <c r="C290" s="693"/>
      <c r="D290" s="681" t="s">
        <v>628</v>
      </c>
      <c r="E290" s="517"/>
      <c r="F290" s="684"/>
      <c r="G290" s="685"/>
      <c r="H290" s="518" t="s">
        <v>629</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90">
        <f t="shared" ref="AN290" si="434">IF(LEFT($AN$1,6)="共同生活援助",SUM(I291:AM291),SUM(I291:AM292))</f>
        <v>0</v>
      </c>
      <c r="AO290" s="662">
        <f>IF($AN$3="４週",AN290/4,AN290/(DAY(EOMONTH($I$21,0))/7))</f>
        <v>0</v>
      </c>
      <c r="AP290" s="665"/>
      <c r="AQ290" s="666"/>
      <c r="AR290" s="662" t="str">
        <f t="shared" ref="AR290" si="435">IF($AN$3="４週",AU291,AV291)</f>
        <v/>
      </c>
      <c r="AS290" s="662"/>
      <c r="AT290" s="671" t="str">
        <f t="shared" ref="AT290" si="436">IF(AX291&lt;=1.1,"",IF(AY291&lt;=1.1,"",IF(F290="","","勤務時間"&amp;CHAR(10)&amp;"OVER")))</f>
        <v/>
      </c>
      <c r="AU290" s="520" t="s">
        <v>630</v>
      </c>
      <c r="AV290" s="520" t="s">
        <v>631</v>
      </c>
      <c r="AX290" s="520" t="s">
        <v>632</v>
      </c>
      <c r="AY290" s="520" t="s">
        <v>633</v>
      </c>
    </row>
    <row r="291" spans="1:51" s="500" customFormat="1" ht="12" customHeight="1">
      <c r="A291" s="673"/>
      <c r="B291" s="676"/>
      <c r="C291" s="694"/>
      <c r="D291" s="682"/>
      <c r="E291" s="521"/>
      <c r="F291" s="686"/>
      <c r="G291" s="687"/>
      <c r="H291" s="522" t="s">
        <v>634</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91"/>
      <c r="AO291" s="663"/>
      <c r="AP291" s="667"/>
      <c r="AQ291" s="668"/>
      <c r="AR291" s="663"/>
      <c r="AS291" s="663"/>
      <c r="AT291" s="671"/>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4"/>
      <c r="B292" s="677"/>
      <c r="C292" s="695"/>
      <c r="D292" s="683"/>
      <c r="E292" s="521"/>
      <c r="F292" s="688"/>
      <c r="G292" s="689"/>
      <c r="H292" s="525" t="s">
        <v>635</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92"/>
      <c r="AO292" s="664"/>
      <c r="AP292" s="669"/>
      <c r="AQ292" s="670"/>
      <c r="AR292" s="664"/>
      <c r="AS292" s="664"/>
      <c r="AT292" s="671"/>
      <c r="AU292" s="527"/>
      <c r="AV292" s="527"/>
      <c r="AX292" s="527"/>
      <c r="AY292" s="527"/>
    </row>
    <row r="293" spans="1:51" s="500" customFormat="1" ht="12" customHeight="1">
      <c r="A293" s="672">
        <v>91</v>
      </c>
      <c r="B293" s="675"/>
      <c r="C293" s="693"/>
      <c r="D293" s="681" t="s">
        <v>628</v>
      </c>
      <c r="E293" s="517"/>
      <c r="F293" s="684"/>
      <c r="G293" s="685"/>
      <c r="H293" s="518" t="s">
        <v>629</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90">
        <f t="shared" ref="AN293" si="439">IF(LEFT($AN$1,6)="共同生活援助",SUM(I294:AM294),SUM(I294:AM295))</f>
        <v>0</v>
      </c>
      <c r="AO293" s="662">
        <f>IF($AN$3="４週",AN293/4,AN293/(DAY(EOMONTH($I$21,0))/7))</f>
        <v>0</v>
      </c>
      <c r="AP293" s="665"/>
      <c r="AQ293" s="666"/>
      <c r="AR293" s="662" t="str">
        <f t="shared" ref="AR293" si="440">IF($AN$3="４週",AU294,AV294)</f>
        <v/>
      </c>
      <c r="AS293" s="662"/>
      <c r="AT293" s="671" t="str">
        <f t="shared" ref="AT293" si="441">IF(AX294&lt;=1.1,"",IF(AY294&lt;=1.1,"",IF(F293="","","勤務時間"&amp;CHAR(10)&amp;"OVER")))</f>
        <v/>
      </c>
      <c r="AU293" s="520" t="s">
        <v>630</v>
      </c>
      <c r="AV293" s="520" t="s">
        <v>631</v>
      </c>
      <c r="AX293" s="520" t="s">
        <v>632</v>
      </c>
      <c r="AY293" s="520" t="s">
        <v>633</v>
      </c>
    </row>
    <row r="294" spans="1:51" s="500" customFormat="1" ht="12" customHeight="1">
      <c r="A294" s="673"/>
      <c r="B294" s="676"/>
      <c r="C294" s="694"/>
      <c r="D294" s="682"/>
      <c r="E294" s="521"/>
      <c r="F294" s="686"/>
      <c r="G294" s="687"/>
      <c r="H294" s="522" t="s">
        <v>634</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91"/>
      <c r="AO294" s="663"/>
      <c r="AP294" s="667"/>
      <c r="AQ294" s="668"/>
      <c r="AR294" s="663"/>
      <c r="AS294" s="663"/>
      <c r="AT294" s="671"/>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4"/>
      <c r="B295" s="677"/>
      <c r="C295" s="695"/>
      <c r="D295" s="683"/>
      <c r="E295" s="521"/>
      <c r="F295" s="688"/>
      <c r="G295" s="689"/>
      <c r="H295" s="525" t="s">
        <v>635</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92"/>
      <c r="AO295" s="664"/>
      <c r="AP295" s="669"/>
      <c r="AQ295" s="670"/>
      <c r="AR295" s="664"/>
      <c r="AS295" s="664"/>
      <c r="AT295" s="671"/>
      <c r="AU295" s="527"/>
      <c r="AV295" s="527"/>
      <c r="AX295" s="527"/>
      <c r="AY295" s="527"/>
    </row>
    <row r="296" spans="1:51" s="500" customFormat="1" ht="12" customHeight="1">
      <c r="A296" s="672">
        <v>92</v>
      </c>
      <c r="B296" s="675"/>
      <c r="C296" s="693"/>
      <c r="D296" s="681" t="s">
        <v>628</v>
      </c>
      <c r="E296" s="517"/>
      <c r="F296" s="684"/>
      <c r="G296" s="685"/>
      <c r="H296" s="518" t="s">
        <v>629</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90">
        <f t="shared" ref="AN296" si="444">IF(LEFT($AN$1,6)="共同生活援助",SUM(I297:AM297),SUM(I297:AM298))</f>
        <v>0</v>
      </c>
      <c r="AO296" s="662">
        <f>IF($AN$3="４週",AN296/4,AN296/(DAY(EOMONTH($I$21,0))/7))</f>
        <v>0</v>
      </c>
      <c r="AP296" s="665"/>
      <c r="AQ296" s="666"/>
      <c r="AR296" s="662" t="str">
        <f t="shared" ref="AR296" si="445">IF($AN$3="４週",AU297,AV297)</f>
        <v/>
      </c>
      <c r="AS296" s="662"/>
      <c r="AT296" s="671" t="str">
        <f t="shared" ref="AT296" si="446">IF(AX297&lt;=1.1,"",IF(AY297&lt;=1.1,"",IF(F296="","","勤務時間"&amp;CHAR(10)&amp;"OVER")))</f>
        <v/>
      </c>
      <c r="AU296" s="520" t="s">
        <v>630</v>
      </c>
      <c r="AV296" s="520" t="s">
        <v>631</v>
      </c>
      <c r="AX296" s="520" t="s">
        <v>632</v>
      </c>
      <c r="AY296" s="520" t="s">
        <v>633</v>
      </c>
    </row>
    <row r="297" spans="1:51" s="500" customFormat="1" ht="12" customHeight="1">
      <c r="A297" s="673"/>
      <c r="B297" s="676"/>
      <c r="C297" s="694"/>
      <c r="D297" s="682"/>
      <c r="E297" s="521"/>
      <c r="F297" s="686"/>
      <c r="G297" s="687"/>
      <c r="H297" s="522" t="s">
        <v>634</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91"/>
      <c r="AO297" s="663"/>
      <c r="AP297" s="667"/>
      <c r="AQ297" s="668"/>
      <c r="AR297" s="663"/>
      <c r="AS297" s="663"/>
      <c r="AT297" s="671"/>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4"/>
      <c r="B298" s="677"/>
      <c r="C298" s="695"/>
      <c r="D298" s="683"/>
      <c r="E298" s="521"/>
      <c r="F298" s="688"/>
      <c r="G298" s="689"/>
      <c r="H298" s="525" t="s">
        <v>635</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92"/>
      <c r="AO298" s="664"/>
      <c r="AP298" s="669"/>
      <c r="AQ298" s="670"/>
      <c r="AR298" s="664"/>
      <c r="AS298" s="664"/>
      <c r="AT298" s="671"/>
      <c r="AU298" s="527"/>
      <c r="AV298" s="527"/>
      <c r="AX298" s="527"/>
      <c r="AY298" s="527"/>
    </row>
    <row r="299" spans="1:51" s="500" customFormat="1" ht="12" customHeight="1">
      <c r="A299" s="672">
        <v>93</v>
      </c>
      <c r="B299" s="675"/>
      <c r="C299" s="693"/>
      <c r="D299" s="681" t="s">
        <v>628</v>
      </c>
      <c r="E299" s="517"/>
      <c r="F299" s="684"/>
      <c r="G299" s="685"/>
      <c r="H299" s="518" t="s">
        <v>629</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90">
        <f t="shared" ref="AN299" si="449">IF(LEFT($AN$1,6)="共同生活援助",SUM(I300:AM300),SUM(I300:AM301))</f>
        <v>0</v>
      </c>
      <c r="AO299" s="662">
        <f>IF($AN$3="４週",AN299/4,AN299/(DAY(EOMONTH($I$21,0))/7))</f>
        <v>0</v>
      </c>
      <c r="AP299" s="665"/>
      <c r="AQ299" s="666"/>
      <c r="AR299" s="662" t="str">
        <f t="shared" ref="AR299" si="450">IF($AN$3="４週",AU300,AV300)</f>
        <v/>
      </c>
      <c r="AS299" s="662"/>
      <c r="AT299" s="671" t="str">
        <f t="shared" ref="AT299" si="451">IF(AX300&lt;=1.1,"",IF(AY300&lt;=1.1,"",IF(F299="","","勤務時間"&amp;CHAR(10)&amp;"OVER")))</f>
        <v/>
      </c>
      <c r="AU299" s="520" t="s">
        <v>630</v>
      </c>
      <c r="AV299" s="520" t="s">
        <v>631</v>
      </c>
      <c r="AX299" s="520" t="s">
        <v>632</v>
      </c>
      <c r="AY299" s="520" t="s">
        <v>633</v>
      </c>
    </row>
    <row r="300" spans="1:51" s="500" customFormat="1" ht="12" customHeight="1">
      <c r="A300" s="673"/>
      <c r="B300" s="676"/>
      <c r="C300" s="694"/>
      <c r="D300" s="682"/>
      <c r="E300" s="521"/>
      <c r="F300" s="686"/>
      <c r="G300" s="687"/>
      <c r="H300" s="522" t="s">
        <v>634</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91"/>
      <c r="AO300" s="663"/>
      <c r="AP300" s="667"/>
      <c r="AQ300" s="668"/>
      <c r="AR300" s="663"/>
      <c r="AS300" s="663"/>
      <c r="AT300" s="671"/>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4"/>
      <c r="B301" s="677"/>
      <c r="C301" s="695"/>
      <c r="D301" s="683"/>
      <c r="E301" s="521"/>
      <c r="F301" s="688"/>
      <c r="G301" s="689"/>
      <c r="H301" s="525" t="s">
        <v>635</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92"/>
      <c r="AO301" s="664"/>
      <c r="AP301" s="669"/>
      <c r="AQ301" s="670"/>
      <c r="AR301" s="664"/>
      <c r="AS301" s="664"/>
      <c r="AT301" s="671"/>
      <c r="AU301" s="527"/>
      <c r="AV301" s="527"/>
      <c r="AX301" s="527"/>
      <c r="AY301" s="527"/>
    </row>
    <row r="302" spans="1:51" s="500" customFormat="1" ht="12" customHeight="1">
      <c r="A302" s="672">
        <v>94</v>
      </c>
      <c r="B302" s="675"/>
      <c r="C302" s="693"/>
      <c r="D302" s="681" t="s">
        <v>628</v>
      </c>
      <c r="E302" s="517"/>
      <c r="F302" s="684"/>
      <c r="G302" s="685"/>
      <c r="H302" s="518" t="s">
        <v>629</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90">
        <f t="shared" ref="AN302" si="454">IF(LEFT($AN$1,6)="共同生活援助",SUM(I303:AM303),SUM(I303:AM304))</f>
        <v>0</v>
      </c>
      <c r="AO302" s="662">
        <f>IF($AN$3="４週",AN302/4,AN302/(DAY(EOMONTH($I$21,0))/7))</f>
        <v>0</v>
      </c>
      <c r="AP302" s="665"/>
      <c r="AQ302" s="666"/>
      <c r="AR302" s="662" t="str">
        <f t="shared" ref="AR302" si="455">IF($AN$3="４週",AU303,AV303)</f>
        <v/>
      </c>
      <c r="AS302" s="662"/>
      <c r="AT302" s="671" t="str">
        <f t="shared" ref="AT302" si="456">IF(AX303&lt;=1.1,"",IF(AY303&lt;=1.1,"",IF(F302="","","勤務時間"&amp;CHAR(10)&amp;"OVER")))</f>
        <v/>
      </c>
      <c r="AU302" s="520" t="s">
        <v>630</v>
      </c>
      <c r="AV302" s="520" t="s">
        <v>631</v>
      </c>
      <c r="AX302" s="520" t="s">
        <v>632</v>
      </c>
      <c r="AY302" s="520" t="s">
        <v>633</v>
      </c>
    </row>
    <row r="303" spans="1:51" s="500" customFormat="1" ht="12" customHeight="1">
      <c r="A303" s="673"/>
      <c r="B303" s="676"/>
      <c r="C303" s="694"/>
      <c r="D303" s="682"/>
      <c r="E303" s="521"/>
      <c r="F303" s="686"/>
      <c r="G303" s="687"/>
      <c r="H303" s="522" t="s">
        <v>634</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91"/>
      <c r="AO303" s="663"/>
      <c r="AP303" s="667"/>
      <c r="AQ303" s="668"/>
      <c r="AR303" s="663"/>
      <c r="AS303" s="663"/>
      <c r="AT303" s="671"/>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4"/>
      <c r="B304" s="677"/>
      <c r="C304" s="695"/>
      <c r="D304" s="683"/>
      <c r="E304" s="521"/>
      <c r="F304" s="688"/>
      <c r="G304" s="689"/>
      <c r="H304" s="525" t="s">
        <v>635</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92"/>
      <c r="AO304" s="664"/>
      <c r="AP304" s="669"/>
      <c r="AQ304" s="670"/>
      <c r="AR304" s="664"/>
      <c r="AS304" s="664"/>
      <c r="AT304" s="671"/>
      <c r="AU304" s="527"/>
      <c r="AV304" s="527"/>
      <c r="AX304" s="527"/>
      <c r="AY304" s="527"/>
    </row>
    <row r="305" spans="1:51" s="500" customFormat="1" ht="12" customHeight="1">
      <c r="A305" s="672">
        <v>95</v>
      </c>
      <c r="B305" s="675"/>
      <c r="C305" s="693"/>
      <c r="D305" s="681" t="s">
        <v>628</v>
      </c>
      <c r="E305" s="517"/>
      <c r="F305" s="684"/>
      <c r="G305" s="685"/>
      <c r="H305" s="518" t="s">
        <v>629</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90">
        <f t="shared" ref="AN305" si="459">IF(LEFT($AN$1,6)="共同生活援助",SUM(I306:AM306),SUM(I306:AM307))</f>
        <v>0</v>
      </c>
      <c r="AO305" s="662">
        <f>IF($AN$3="４週",AN305/4,AN305/(DAY(EOMONTH($I$21,0))/7))</f>
        <v>0</v>
      </c>
      <c r="AP305" s="665"/>
      <c r="AQ305" s="666"/>
      <c r="AR305" s="662" t="str">
        <f t="shared" ref="AR305" si="460">IF($AN$3="４週",AU306,AV306)</f>
        <v/>
      </c>
      <c r="AS305" s="662"/>
      <c r="AT305" s="671" t="str">
        <f t="shared" ref="AT305" si="461">IF(AX306&lt;=1.1,"",IF(AY306&lt;=1.1,"",IF(F305="","","勤務時間"&amp;CHAR(10)&amp;"OVER")))</f>
        <v/>
      </c>
      <c r="AU305" s="520" t="s">
        <v>630</v>
      </c>
      <c r="AV305" s="520" t="s">
        <v>631</v>
      </c>
      <c r="AX305" s="520" t="s">
        <v>632</v>
      </c>
      <c r="AY305" s="520" t="s">
        <v>633</v>
      </c>
    </row>
    <row r="306" spans="1:51" s="500" customFormat="1" ht="12" customHeight="1">
      <c r="A306" s="673"/>
      <c r="B306" s="676"/>
      <c r="C306" s="694"/>
      <c r="D306" s="682"/>
      <c r="E306" s="521"/>
      <c r="F306" s="686"/>
      <c r="G306" s="687"/>
      <c r="H306" s="522" t="s">
        <v>634</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91"/>
      <c r="AO306" s="663"/>
      <c r="AP306" s="667"/>
      <c r="AQ306" s="668"/>
      <c r="AR306" s="663"/>
      <c r="AS306" s="663"/>
      <c r="AT306" s="671"/>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4"/>
      <c r="B307" s="677"/>
      <c r="C307" s="695"/>
      <c r="D307" s="683"/>
      <c r="E307" s="521"/>
      <c r="F307" s="688"/>
      <c r="G307" s="689"/>
      <c r="H307" s="525" t="s">
        <v>635</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92"/>
      <c r="AO307" s="664"/>
      <c r="AP307" s="669"/>
      <c r="AQ307" s="670"/>
      <c r="AR307" s="664"/>
      <c r="AS307" s="664"/>
      <c r="AT307" s="671"/>
      <c r="AU307" s="527"/>
      <c r="AV307" s="527"/>
      <c r="AX307" s="527"/>
      <c r="AY307" s="527"/>
    </row>
    <row r="308" spans="1:51" s="500" customFormat="1" ht="12" customHeight="1">
      <c r="A308" s="672">
        <v>96</v>
      </c>
      <c r="B308" s="675"/>
      <c r="C308" s="693"/>
      <c r="D308" s="681" t="s">
        <v>628</v>
      </c>
      <c r="E308" s="517"/>
      <c r="F308" s="684"/>
      <c r="G308" s="685"/>
      <c r="H308" s="518" t="s">
        <v>629</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90">
        <f t="shared" ref="AN308" si="464">IF(LEFT($AN$1,6)="共同生活援助",SUM(I309:AM309),SUM(I309:AM310))</f>
        <v>0</v>
      </c>
      <c r="AO308" s="662">
        <f>IF($AN$3="４週",AN308/4,AN308/(DAY(EOMONTH($I$21,0))/7))</f>
        <v>0</v>
      </c>
      <c r="AP308" s="665"/>
      <c r="AQ308" s="666"/>
      <c r="AR308" s="662" t="str">
        <f t="shared" ref="AR308" si="465">IF($AN$3="４週",AU309,AV309)</f>
        <v/>
      </c>
      <c r="AS308" s="662"/>
      <c r="AT308" s="671" t="str">
        <f t="shared" ref="AT308" si="466">IF(AX309&lt;=1.1,"",IF(AY309&lt;=1.1,"",IF(F308="","","勤務時間"&amp;CHAR(10)&amp;"OVER")))</f>
        <v/>
      </c>
      <c r="AU308" s="520" t="s">
        <v>630</v>
      </c>
      <c r="AV308" s="520" t="s">
        <v>631</v>
      </c>
      <c r="AX308" s="520" t="s">
        <v>632</v>
      </c>
      <c r="AY308" s="520" t="s">
        <v>633</v>
      </c>
    </row>
    <row r="309" spans="1:51" s="500" customFormat="1" ht="12" customHeight="1">
      <c r="A309" s="673"/>
      <c r="B309" s="676"/>
      <c r="C309" s="694"/>
      <c r="D309" s="682"/>
      <c r="E309" s="521"/>
      <c r="F309" s="686"/>
      <c r="G309" s="687"/>
      <c r="H309" s="522" t="s">
        <v>634</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91"/>
      <c r="AO309" s="663"/>
      <c r="AP309" s="667"/>
      <c r="AQ309" s="668"/>
      <c r="AR309" s="663"/>
      <c r="AS309" s="663"/>
      <c r="AT309" s="671"/>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4"/>
      <c r="B310" s="677"/>
      <c r="C310" s="695"/>
      <c r="D310" s="683"/>
      <c r="E310" s="521"/>
      <c r="F310" s="688"/>
      <c r="G310" s="689"/>
      <c r="H310" s="525" t="s">
        <v>635</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92"/>
      <c r="AO310" s="664"/>
      <c r="AP310" s="669"/>
      <c r="AQ310" s="670"/>
      <c r="AR310" s="664"/>
      <c r="AS310" s="664"/>
      <c r="AT310" s="671"/>
      <c r="AU310" s="527"/>
      <c r="AV310" s="527"/>
      <c r="AX310" s="527"/>
      <c r="AY310" s="527"/>
    </row>
    <row r="311" spans="1:51" s="500" customFormat="1" ht="12" customHeight="1">
      <c r="A311" s="672">
        <v>97</v>
      </c>
      <c r="B311" s="675"/>
      <c r="C311" s="693"/>
      <c r="D311" s="681" t="s">
        <v>628</v>
      </c>
      <c r="E311" s="517"/>
      <c r="F311" s="684"/>
      <c r="G311" s="685"/>
      <c r="H311" s="518" t="s">
        <v>629</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90">
        <f t="shared" ref="AN311" si="469">IF(LEFT($AN$1,6)="共同生活援助",SUM(I312:AM312),SUM(I312:AM313))</f>
        <v>0</v>
      </c>
      <c r="AO311" s="662">
        <f>IF($AN$3="４週",AN311/4,AN311/(DAY(EOMONTH($I$21,0))/7))</f>
        <v>0</v>
      </c>
      <c r="AP311" s="665"/>
      <c r="AQ311" s="666"/>
      <c r="AR311" s="662" t="str">
        <f t="shared" ref="AR311" si="470">IF($AN$3="４週",AU312,AV312)</f>
        <v/>
      </c>
      <c r="AS311" s="662"/>
      <c r="AT311" s="671" t="str">
        <f t="shared" ref="AT311" si="471">IF(AX312&lt;=1.1,"",IF(AY312&lt;=1.1,"",IF(F311="","","勤務時間"&amp;CHAR(10)&amp;"OVER")))</f>
        <v/>
      </c>
      <c r="AU311" s="520" t="s">
        <v>630</v>
      </c>
      <c r="AV311" s="520" t="s">
        <v>631</v>
      </c>
      <c r="AX311" s="520" t="s">
        <v>632</v>
      </c>
      <c r="AY311" s="520" t="s">
        <v>633</v>
      </c>
    </row>
    <row r="312" spans="1:51" s="500" customFormat="1" ht="12" customHeight="1">
      <c r="A312" s="673"/>
      <c r="B312" s="676"/>
      <c r="C312" s="694"/>
      <c r="D312" s="682"/>
      <c r="E312" s="521"/>
      <c r="F312" s="686"/>
      <c r="G312" s="687"/>
      <c r="H312" s="522" t="s">
        <v>634</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91"/>
      <c r="AO312" s="663"/>
      <c r="AP312" s="667"/>
      <c r="AQ312" s="668"/>
      <c r="AR312" s="663"/>
      <c r="AS312" s="663"/>
      <c r="AT312" s="671"/>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4"/>
      <c r="B313" s="677"/>
      <c r="C313" s="695"/>
      <c r="D313" s="683"/>
      <c r="E313" s="521"/>
      <c r="F313" s="688"/>
      <c r="G313" s="689"/>
      <c r="H313" s="525" t="s">
        <v>635</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92"/>
      <c r="AO313" s="664"/>
      <c r="AP313" s="669"/>
      <c r="AQ313" s="670"/>
      <c r="AR313" s="664"/>
      <c r="AS313" s="664"/>
      <c r="AT313" s="671"/>
      <c r="AU313" s="527"/>
      <c r="AV313" s="527"/>
      <c r="AX313" s="527"/>
      <c r="AY313" s="527"/>
    </row>
    <row r="314" spans="1:51" s="500" customFormat="1" ht="12" customHeight="1">
      <c r="A314" s="672">
        <v>98</v>
      </c>
      <c r="B314" s="675"/>
      <c r="C314" s="693"/>
      <c r="D314" s="681" t="s">
        <v>628</v>
      </c>
      <c r="E314" s="517"/>
      <c r="F314" s="684"/>
      <c r="G314" s="685"/>
      <c r="H314" s="518" t="s">
        <v>629</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90">
        <f t="shared" ref="AN314" si="474">IF(LEFT($AN$1,6)="共同生活援助",SUM(I315:AM315),SUM(I315:AM316))</f>
        <v>0</v>
      </c>
      <c r="AO314" s="662">
        <f>IF($AN$3="４週",AN314/4,AN314/(DAY(EOMONTH($I$21,0))/7))</f>
        <v>0</v>
      </c>
      <c r="AP314" s="665"/>
      <c r="AQ314" s="666"/>
      <c r="AR314" s="662" t="str">
        <f t="shared" ref="AR314" si="475">IF($AN$3="４週",AU315,AV315)</f>
        <v/>
      </c>
      <c r="AS314" s="662"/>
      <c r="AT314" s="671" t="str">
        <f t="shared" ref="AT314" si="476">IF(AX315&lt;=1.1,"",IF(AY315&lt;=1.1,"",IF(F314="","","勤務時間"&amp;CHAR(10)&amp;"OVER")))</f>
        <v/>
      </c>
      <c r="AU314" s="520" t="s">
        <v>630</v>
      </c>
      <c r="AV314" s="520" t="s">
        <v>631</v>
      </c>
      <c r="AX314" s="520" t="s">
        <v>632</v>
      </c>
      <c r="AY314" s="520" t="s">
        <v>633</v>
      </c>
    </row>
    <row r="315" spans="1:51" s="500" customFormat="1" ht="12" customHeight="1">
      <c r="A315" s="673"/>
      <c r="B315" s="676"/>
      <c r="C315" s="694"/>
      <c r="D315" s="682"/>
      <c r="E315" s="521"/>
      <c r="F315" s="686"/>
      <c r="G315" s="687"/>
      <c r="H315" s="522" t="s">
        <v>634</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91"/>
      <c r="AO315" s="663"/>
      <c r="AP315" s="667"/>
      <c r="AQ315" s="668"/>
      <c r="AR315" s="663"/>
      <c r="AS315" s="663"/>
      <c r="AT315" s="671"/>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4"/>
      <c r="B316" s="677"/>
      <c r="C316" s="695"/>
      <c r="D316" s="683"/>
      <c r="E316" s="521"/>
      <c r="F316" s="688"/>
      <c r="G316" s="689"/>
      <c r="H316" s="525" t="s">
        <v>635</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92"/>
      <c r="AO316" s="664"/>
      <c r="AP316" s="669"/>
      <c r="AQ316" s="670"/>
      <c r="AR316" s="664"/>
      <c r="AS316" s="664"/>
      <c r="AT316" s="671"/>
      <c r="AU316" s="527"/>
      <c r="AV316" s="527"/>
      <c r="AX316" s="527"/>
      <c r="AY316" s="527"/>
    </row>
    <row r="317" spans="1:51" s="500" customFormat="1" ht="12" customHeight="1">
      <c r="A317" s="672">
        <v>99</v>
      </c>
      <c r="B317" s="675"/>
      <c r="C317" s="678"/>
      <c r="D317" s="681" t="s">
        <v>628</v>
      </c>
      <c r="E317" s="517"/>
      <c r="F317" s="684"/>
      <c r="G317" s="685"/>
      <c r="H317" s="518" t="s">
        <v>629</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90">
        <f t="shared" ref="AN317" si="479">IF(LEFT($AN$1,6)="共同生活援助",SUM(I318:AM318),SUM(I318:AM319))</f>
        <v>0</v>
      </c>
      <c r="AO317" s="662">
        <f>IF($AN$3="４週",AN317/4,AN317/(DAY(EOMONTH($I$21,0))/7))</f>
        <v>0</v>
      </c>
      <c r="AP317" s="665"/>
      <c r="AQ317" s="666"/>
      <c r="AR317" s="662" t="str">
        <f t="shared" ref="AR317" si="480">IF($AN$3="４週",AU318,AV318)</f>
        <v/>
      </c>
      <c r="AS317" s="662"/>
      <c r="AT317" s="671" t="str">
        <f t="shared" ref="AT317" si="481">IF(AX318&lt;=1.1,"",IF(AY318&lt;=1.1,"",IF(F317="","","勤務時間"&amp;CHAR(10)&amp;"OVER")))</f>
        <v/>
      </c>
      <c r="AU317" s="520" t="s">
        <v>630</v>
      </c>
      <c r="AV317" s="520" t="s">
        <v>631</v>
      </c>
      <c r="AX317" s="520" t="s">
        <v>632</v>
      </c>
      <c r="AY317" s="520" t="s">
        <v>633</v>
      </c>
    </row>
    <row r="318" spans="1:51" s="500" customFormat="1" ht="12" customHeight="1">
      <c r="A318" s="673"/>
      <c r="B318" s="676"/>
      <c r="C318" s="679"/>
      <c r="D318" s="682"/>
      <c r="E318" s="521"/>
      <c r="F318" s="686"/>
      <c r="G318" s="687"/>
      <c r="H318" s="522" t="s">
        <v>634</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91"/>
      <c r="AO318" s="663"/>
      <c r="AP318" s="667"/>
      <c r="AQ318" s="668"/>
      <c r="AR318" s="663"/>
      <c r="AS318" s="663"/>
      <c r="AT318" s="671"/>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4"/>
      <c r="B319" s="677"/>
      <c r="C319" s="680"/>
      <c r="D319" s="683"/>
      <c r="E319" s="581"/>
      <c r="F319" s="688"/>
      <c r="G319" s="689"/>
      <c r="H319" s="525" t="s">
        <v>635</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92"/>
      <c r="AO319" s="664"/>
      <c r="AP319" s="669"/>
      <c r="AQ319" s="670"/>
      <c r="AR319" s="664"/>
      <c r="AS319" s="664"/>
      <c r="AT319" s="671"/>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636</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637</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638</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639</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640</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641</v>
      </c>
      <c r="B326" s="552"/>
      <c r="C326" s="540"/>
      <c r="D326" s="540"/>
      <c r="E326" s="540"/>
      <c r="F326" s="540"/>
      <c r="G326" s="540"/>
      <c r="H326" s="540"/>
      <c r="I326" s="540"/>
      <c r="J326" s="540"/>
    </row>
    <row r="327" spans="1:46" ht="15" customHeight="1">
      <c r="A327" s="540" t="s">
        <v>642</v>
      </c>
      <c r="B327" s="552"/>
      <c r="C327" s="540"/>
      <c r="D327" s="540"/>
      <c r="E327" s="540"/>
      <c r="F327" s="540"/>
      <c r="G327" s="540"/>
      <c r="H327" s="540"/>
      <c r="I327" s="540"/>
      <c r="J327" s="540"/>
    </row>
    <row r="328" spans="1:46" ht="15" customHeight="1">
      <c r="A328" s="540"/>
      <c r="B328" s="553" t="s">
        <v>643</v>
      </c>
      <c r="C328" s="659" t="s">
        <v>644</v>
      </c>
      <c r="D328" s="660"/>
      <c r="E328" s="661"/>
      <c r="F328" s="536"/>
      <c r="G328" s="536"/>
      <c r="H328" s="540"/>
      <c r="I328" s="540"/>
      <c r="AS328" s="540"/>
    </row>
    <row r="329" spans="1:46" ht="15" customHeight="1">
      <c r="A329" s="540"/>
      <c r="B329" s="554" t="s">
        <v>645</v>
      </c>
      <c r="C329" s="659" t="s">
        <v>646</v>
      </c>
      <c r="D329" s="660"/>
      <c r="E329" s="661"/>
      <c r="F329" s="540"/>
      <c r="G329" s="540"/>
      <c r="H329" s="540"/>
      <c r="I329" s="540"/>
      <c r="AS329" s="540"/>
    </row>
    <row r="330" spans="1:46" ht="15" customHeight="1">
      <c r="A330" s="540"/>
      <c r="B330" s="554" t="s">
        <v>647</v>
      </c>
      <c r="C330" s="659" t="s">
        <v>648</v>
      </c>
      <c r="D330" s="660"/>
      <c r="E330" s="661"/>
      <c r="F330" s="540"/>
      <c r="G330" s="540"/>
      <c r="H330" s="540"/>
      <c r="I330" s="540"/>
      <c r="AS330" s="540"/>
    </row>
    <row r="331" spans="1:46" ht="15" customHeight="1">
      <c r="A331" s="540"/>
      <c r="B331" s="554" t="s">
        <v>649</v>
      </c>
      <c r="C331" s="659" t="s">
        <v>650</v>
      </c>
      <c r="D331" s="660"/>
      <c r="E331" s="661"/>
      <c r="F331" s="540"/>
      <c r="G331" s="540"/>
      <c r="H331" s="540"/>
      <c r="I331" s="540"/>
      <c r="AS331" s="540"/>
    </row>
    <row r="332" spans="1:46" ht="15" customHeight="1">
      <c r="A332" s="540"/>
      <c r="B332" s="554" t="s">
        <v>651</v>
      </c>
      <c r="C332" s="659" t="s">
        <v>652</v>
      </c>
      <c r="D332" s="660"/>
      <c r="E332" s="661"/>
      <c r="F332" s="540"/>
      <c r="G332" s="540"/>
      <c r="H332" s="540"/>
      <c r="I332" s="540"/>
      <c r="AS332" s="540"/>
    </row>
    <row r="333" spans="1:46" ht="15" customHeight="1">
      <c r="A333" s="540"/>
      <c r="B333" s="540" t="s">
        <v>653</v>
      </c>
      <c r="C333" s="540"/>
      <c r="D333" s="540"/>
      <c r="E333" s="540"/>
      <c r="F333" s="540"/>
      <c r="G333" s="540"/>
      <c r="H333" s="540"/>
      <c r="I333" s="540"/>
      <c r="J333" s="540"/>
    </row>
    <row r="334" spans="1:46" ht="15" customHeight="1">
      <c r="A334" s="540"/>
      <c r="B334" s="540" t="s">
        <v>654</v>
      </c>
      <c r="C334" s="540"/>
      <c r="D334" s="540"/>
      <c r="E334" s="540"/>
      <c r="F334" s="540"/>
      <c r="G334" s="540"/>
      <c r="H334" s="540"/>
      <c r="I334" s="540"/>
      <c r="J334" s="540"/>
    </row>
    <row r="335" spans="1:46" ht="15" customHeight="1">
      <c r="A335" s="540"/>
      <c r="B335" s="540" t="s">
        <v>655</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656</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657</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658</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659</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660</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661</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662</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663</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664</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665</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666</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667</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668</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E10" sqref="E10:F10"/>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775</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591</v>
      </c>
      <c r="AM1" s="499"/>
      <c r="AN1" s="743" t="s">
        <v>122</v>
      </c>
      <c r="AO1" s="744"/>
      <c r="AP1" s="744"/>
      <c r="AQ1" s="745"/>
      <c r="AT1" s="501"/>
      <c r="AZ1" s="136">
        <v>2023</v>
      </c>
      <c r="BA1" s="136">
        <v>5</v>
      </c>
    </row>
    <row r="2" spans="1:53" s="500" customFormat="1" ht="18" customHeight="1">
      <c r="A2" s="497" t="s">
        <v>593</v>
      </c>
      <c r="B2" s="502"/>
      <c r="C2" s="502"/>
      <c r="D2" s="502"/>
      <c r="E2" s="502"/>
      <c r="F2" s="502"/>
      <c r="G2" s="502"/>
      <c r="H2" s="502"/>
      <c r="I2" s="502"/>
      <c r="J2" s="502"/>
      <c r="K2" s="502"/>
      <c r="L2" s="502"/>
      <c r="M2" s="502"/>
      <c r="N2" s="556"/>
      <c r="O2" s="502"/>
      <c r="P2" s="746">
        <f>YEAR(EOMONTH(DATE(SUM(2018+【共通】!N9),【共通】!P9,【共通】!R9),-2))</f>
        <v>2024</v>
      </c>
      <c r="Q2" s="746"/>
      <c r="R2" s="746"/>
      <c r="S2" s="746"/>
      <c r="T2" s="747" t="s">
        <v>27</v>
      </c>
      <c r="U2" s="747"/>
      <c r="V2" s="746">
        <f>MONTH(EOMONTH(DATE(2024,【共通】!P9,【共通】!R9),-4))</f>
        <v>7</v>
      </c>
      <c r="W2" s="746"/>
      <c r="X2" s="747" t="s">
        <v>310</v>
      </c>
      <c r="Y2" s="747"/>
      <c r="Z2" s="502"/>
      <c r="AA2" s="502"/>
      <c r="AB2" s="502"/>
      <c r="AC2" s="497"/>
      <c r="AD2" s="497"/>
      <c r="AE2" s="503"/>
      <c r="AF2" s="499"/>
      <c r="AG2" s="502"/>
      <c r="AH2" s="502"/>
      <c r="AI2" s="502"/>
      <c r="AJ2" s="502"/>
      <c r="AK2" s="502"/>
      <c r="AL2" s="499" t="s">
        <v>594</v>
      </c>
      <c r="AM2" s="499"/>
      <c r="AN2" s="748"/>
      <c r="AO2" s="749"/>
      <c r="AP2" s="749"/>
      <c r="AQ2" s="750"/>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595</v>
      </c>
      <c r="AM3" s="499"/>
      <c r="AN3" s="755" t="str">
        <f>IF(AN4="","予定/実績の別を選択",IF(AN4="予定","４週","暦月"))</f>
        <v>暦月</v>
      </c>
      <c r="AO3" s="756"/>
      <c r="AP3" s="756"/>
      <c r="AQ3" s="757"/>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596</v>
      </c>
      <c r="AM4" s="499"/>
      <c r="AN4" s="758" t="s">
        <v>670</v>
      </c>
      <c r="AO4" s="759"/>
      <c r="AP4" s="759"/>
      <c r="AQ4" s="760"/>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597</v>
      </c>
      <c r="AK6" s="761"/>
      <c r="AL6" s="761"/>
      <c r="AM6" s="761"/>
      <c r="AN6" s="505" t="s">
        <v>598</v>
      </c>
      <c r="AO6" s="507"/>
      <c r="AP6" s="505" t="s">
        <v>599</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600</v>
      </c>
      <c r="AK8" s="761"/>
      <c r="AL8" s="761"/>
      <c r="AM8" s="761"/>
      <c r="AN8" s="505" t="s">
        <v>598</v>
      </c>
      <c r="AO8" s="507"/>
      <c r="AP8" s="505" t="s">
        <v>599</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62" t="str">
        <f>IF(E16="","",IF(E15&lt;E16,"ＮＧ",""))</f>
        <v/>
      </c>
      <c r="F10" s="762"/>
      <c r="G10" s="762" t="str">
        <f>IF(G16="","",IF(G11="職業指導員",IF((G15+J15)&lt;(G16+J16),"ＮＧ",""),IF(G15&lt;G16,"ＮＧ","")))</f>
        <v/>
      </c>
      <c r="H10" s="762"/>
      <c r="I10" s="762"/>
      <c r="J10" s="762" t="str">
        <f>IF(J16="","",IF(J11="職業指導員",IF((J15+P15)&lt;(J16+P16),"ＮＧ",""),IF(J15&lt;J16,"ＮＧ","")))</f>
        <v/>
      </c>
      <c r="K10" s="762"/>
      <c r="L10" s="762"/>
      <c r="M10" s="762"/>
      <c r="N10" s="762"/>
      <c r="O10" s="762"/>
      <c r="P10" s="762" t="str">
        <f>IF(P16="","",IF(P15&lt;P16,"ＮＧ",""))</f>
        <v/>
      </c>
      <c r="Q10" s="762"/>
      <c r="R10" s="762"/>
      <c r="S10" s="762"/>
      <c r="T10" s="762"/>
      <c r="U10" s="762"/>
      <c r="V10" s="762" t="str">
        <f>IF(V16="","",IF(V15&lt;V16,"ＮＧ",""))</f>
        <v/>
      </c>
      <c r="W10" s="762"/>
      <c r="X10" s="762"/>
      <c r="Y10" s="762"/>
      <c r="Z10" s="762"/>
      <c r="AA10" s="762"/>
      <c r="AB10" s="751" t="str">
        <f>IF(AB16="","",IF(AB15&lt;AB16,"ＮＧ",""))</f>
        <v/>
      </c>
      <c r="AC10" s="751"/>
      <c r="AD10" s="751"/>
      <c r="AE10" s="751"/>
      <c r="AF10" s="751"/>
      <c r="AG10" s="751"/>
      <c r="AH10" s="751" t="str">
        <f>IF(AH16="","",IF(AH15&lt;AH16,"ＮＧ",""))</f>
        <v/>
      </c>
      <c r="AI10" s="751"/>
      <c r="AJ10" s="751"/>
      <c r="AK10" s="751"/>
      <c r="AL10" s="751"/>
      <c r="AM10" s="751"/>
      <c r="AN10" s="751" t="str">
        <f>IF(AN16="","",IF(AN15&lt;AN16,"ＮＧ",""))</f>
        <v/>
      </c>
      <c r="AO10" s="751"/>
      <c r="AP10" s="751" t="str">
        <f>IF(AP16="","",IF(AP15&lt;AP16,"ＮＧ",""))</f>
        <v/>
      </c>
      <c r="AQ10" s="751"/>
      <c r="AR10" s="752" t="str">
        <f>IF(AR16="","",IF(AR15&lt;AR16,"ＮＧ",""))</f>
        <v/>
      </c>
      <c r="AS10" s="752"/>
      <c r="AT10" s="501"/>
    </row>
    <row r="11" spans="1:53" s="503" customFormat="1" ht="21" customHeight="1">
      <c r="A11" s="496"/>
      <c r="B11" s="753"/>
      <c r="C11" s="715" t="s">
        <v>601</v>
      </c>
      <c r="D11" s="717"/>
      <c r="E11" s="707" t="str">
        <f>IFERROR(IF(VLOOKUP($AN$1,[5]選択肢!$A:$L,3,FALSE)="","---",(VLOOKUP($AN$1,[5]選択肢!$A:$L,3,FALSE))),"サービス種別未選択")</f>
        <v>サービス管理責任者</v>
      </c>
      <c r="F11" s="707"/>
      <c r="G11" s="707" t="str">
        <f>IFERROR(IF(VLOOKUP($AN$1,[5]選択肢!$A:$L,4,FALSE)="","---",(VLOOKUP($AN$1,[5]選択肢!$A:$L,4,FALSE))),"サービス種別"&amp;CHAR(10)&amp;"未選択")</f>
        <v>職業指導員</v>
      </c>
      <c r="H11" s="707"/>
      <c r="I11" s="707"/>
      <c r="J11" s="732" t="str">
        <f>IFERROR(IF(VLOOKUP($AN$1,[5]選択肢!$A:$L,5,FALSE)="","---",(VLOOKUP($AN$1,[5]選択肢!$A:$L,5,FALSE))),"サービス種別未選択")</f>
        <v>生活支援員</v>
      </c>
      <c r="K11" s="733"/>
      <c r="L11" s="733"/>
      <c r="M11" s="733"/>
      <c r="N11" s="733"/>
      <c r="O11" s="734"/>
      <c r="P11" s="732" t="str">
        <f>IFERROR(IF(VLOOKUP($AN$1,[5]選択肢!$A:$L,6,FALSE)="","---",(VLOOKUP($AN$1,[5]選択肢!$A:$L,6,FALSE))),"サービス種別未選択")</f>
        <v>目標工賃達成指導員</v>
      </c>
      <c r="Q11" s="733"/>
      <c r="R11" s="733"/>
      <c r="S11" s="733"/>
      <c r="T11" s="733"/>
      <c r="U11" s="734"/>
      <c r="V11" s="732" t="str">
        <f>IFERROR(IF(VLOOKUP($AN$1,[5]選択肢!$A:$L,7,FALSE)="","---",(VLOOKUP($AN$1,[5]選択肢!$A:$L,7,FALSE))),"サービス種別未選択")</f>
        <v>その他職員</v>
      </c>
      <c r="W11" s="733"/>
      <c r="X11" s="733"/>
      <c r="Y11" s="733"/>
      <c r="Z11" s="733"/>
      <c r="AA11" s="734"/>
      <c r="AB11" s="732" t="str">
        <f>IFERROR(IF(VLOOKUP($AN$1,[5]選択肢!$A:$L,8,FALSE)="","---",(VLOOKUP($AN$1,[5]選択肢!$A:$L,8,FALSE))),"サービス種別未選択")</f>
        <v>---</v>
      </c>
      <c r="AC11" s="733"/>
      <c r="AD11" s="733"/>
      <c r="AE11" s="733"/>
      <c r="AF11" s="733"/>
      <c r="AG11" s="734"/>
      <c r="AH11" s="732" t="str">
        <f>IFERROR(IF(VLOOKUP($AN$1,[5]選択肢!$A:$L,9,FALSE)="","---",(VLOOKUP($AN$1,[5]選択肢!$A:$L,9,FALSE))),"サービス種別未選択")</f>
        <v>---</v>
      </c>
      <c r="AI11" s="733"/>
      <c r="AJ11" s="733"/>
      <c r="AK11" s="733"/>
      <c r="AL11" s="733"/>
      <c r="AM11" s="734"/>
      <c r="AN11" s="696" t="str">
        <f>IFERROR(IF(VLOOKUP($AN$1,[5]選択肢!$A:$L,10,FALSE)="","---",(VLOOKUP($AN$1,[5]選択肢!$A:$L,10,FALSE))),"サービス種別未選択")</f>
        <v>---</v>
      </c>
      <c r="AO11" s="697"/>
      <c r="AP11" s="707" t="str">
        <f>IFERROR(IF(VLOOKUP($AN$1,[5]選択肢!$A:$L,11,FALSE)="","---",(VLOOKUP($AN$1,[5]選択肢!$A:$L,11,FALSE))),"サービス種別未選択")</f>
        <v>---</v>
      </c>
      <c r="AQ11" s="707"/>
      <c r="AR11" s="707" t="str">
        <f>IFERROR(IF(VLOOKUP($AN$1,[5]選択肢!$A:$L,12,FALSE)="","---",(VLOOKUP($AN$1,[5]選択肢!$A:$L,12,FALSE))),"サービス種別未選択")</f>
        <v>---</v>
      </c>
      <c r="AS11" s="707"/>
      <c r="AT11" s="508"/>
    </row>
    <row r="12" spans="1:53" s="503" customFormat="1" ht="24.95" customHeight="1">
      <c r="A12" s="497"/>
      <c r="B12" s="754"/>
      <c r="C12" s="721"/>
      <c r="D12" s="723"/>
      <c r="E12" s="509" t="s">
        <v>602</v>
      </c>
      <c r="F12" s="509" t="s">
        <v>603</v>
      </c>
      <c r="G12" s="510" t="s">
        <v>604</v>
      </c>
      <c r="H12" s="742" t="s">
        <v>605</v>
      </c>
      <c r="I12" s="742"/>
      <c r="J12" s="739" t="s">
        <v>606</v>
      </c>
      <c r="K12" s="740"/>
      <c r="L12" s="741"/>
      <c r="M12" s="739" t="s">
        <v>607</v>
      </c>
      <c r="N12" s="740"/>
      <c r="O12" s="741"/>
      <c r="P12" s="739" t="s">
        <v>606</v>
      </c>
      <c r="Q12" s="740"/>
      <c r="R12" s="741"/>
      <c r="S12" s="739" t="s">
        <v>607</v>
      </c>
      <c r="T12" s="740"/>
      <c r="U12" s="741"/>
      <c r="V12" s="739" t="s">
        <v>606</v>
      </c>
      <c r="W12" s="740"/>
      <c r="X12" s="741"/>
      <c r="Y12" s="739" t="s">
        <v>607</v>
      </c>
      <c r="Z12" s="740"/>
      <c r="AA12" s="741"/>
      <c r="AB12" s="739" t="s">
        <v>606</v>
      </c>
      <c r="AC12" s="740"/>
      <c r="AD12" s="741"/>
      <c r="AE12" s="739" t="s">
        <v>607</v>
      </c>
      <c r="AF12" s="740"/>
      <c r="AG12" s="741"/>
      <c r="AH12" s="739" t="s">
        <v>606</v>
      </c>
      <c r="AI12" s="740"/>
      <c r="AJ12" s="741"/>
      <c r="AK12" s="739" t="s">
        <v>607</v>
      </c>
      <c r="AL12" s="740"/>
      <c r="AM12" s="741"/>
      <c r="AN12" s="509" t="s">
        <v>602</v>
      </c>
      <c r="AO12" s="509" t="s">
        <v>603</v>
      </c>
      <c r="AP12" s="509" t="s">
        <v>602</v>
      </c>
      <c r="AQ12" s="509" t="s">
        <v>603</v>
      </c>
      <c r="AR12" s="509" t="s">
        <v>602</v>
      </c>
      <c r="AS12" s="509" t="s">
        <v>603</v>
      </c>
      <c r="AT12" s="508"/>
    </row>
    <row r="13" spans="1:53" s="503" customFormat="1" ht="18" customHeight="1">
      <c r="A13" s="497"/>
      <c r="B13" s="511" t="s">
        <v>608</v>
      </c>
      <c r="C13" s="696">
        <f>SUM(E13:AS13)</f>
        <v>0</v>
      </c>
      <c r="D13" s="697"/>
      <c r="E13" s="509">
        <f>COUNTIFS($B:$B,$E$11,$C:$C,"(A)常/専")</f>
        <v>0</v>
      </c>
      <c r="F13" s="509">
        <f>COUNTIFS($B:$B,$E$11,$C:$C,"(B)常/兼")</f>
        <v>0</v>
      </c>
      <c r="G13" s="509">
        <f>COUNTIFS($B:$B,$G$11,$C:$C,"(A)常/専")</f>
        <v>0</v>
      </c>
      <c r="H13" s="742">
        <f>COUNTIFS($B:$B,$G$11,$C:$C,"(B)常/兼")</f>
        <v>0</v>
      </c>
      <c r="I13" s="742"/>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609</v>
      </c>
      <c r="C14" s="696">
        <f>SUM(E14:AS14)</f>
        <v>0</v>
      </c>
      <c r="D14" s="697"/>
      <c r="E14" s="509">
        <f>COUNTIFS($B:$B,$E$11,$C:$C,"(C)非/専")</f>
        <v>0</v>
      </c>
      <c r="F14" s="509">
        <f>COUNTIFS($B:$B,$E$11,$C:$C,"(D)非/兼")</f>
        <v>0</v>
      </c>
      <c r="G14" s="509">
        <f>COUNTIFS($B:$B,$G$11,$C:$C,"(C)非/専")</f>
        <v>0</v>
      </c>
      <c r="H14" s="742">
        <f>COUNTIFS($B:$B,$G$11,$C:$C,"(D)非/兼")</f>
        <v>0</v>
      </c>
      <c r="I14" s="742"/>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610</v>
      </c>
      <c r="C15" s="696">
        <f>SUM(E15:AS15)-(SUMIFS($AR:$AR,$B:$B,"サービス管理責任者")+SUMIFS($AR:$AR,$B:$B,"医師")+SUMIFS($AR:$AR,$B:$B,"その他職員"))</f>
        <v>0</v>
      </c>
      <c r="D15" s="697"/>
      <c r="E15" s="732">
        <f>ROUND(SUMIF($B:$B,E11,$AR:$AR),1)</f>
        <v>0</v>
      </c>
      <c r="F15" s="734"/>
      <c r="G15" s="738">
        <f>ROUND(SUMIF($B:$B,G11,$AR:$AR),1)</f>
        <v>0</v>
      </c>
      <c r="H15" s="738"/>
      <c r="I15" s="738"/>
      <c r="J15" s="732">
        <f>ROUND(SUMIF($B:$B,J11,$AR:$AR),1)</f>
        <v>0</v>
      </c>
      <c r="K15" s="733"/>
      <c r="L15" s="733"/>
      <c r="M15" s="733"/>
      <c r="N15" s="733"/>
      <c r="O15" s="734"/>
      <c r="P15" s="732">
        <f>ROUND(SUMIF($B:$B,P11,$AR:$AR),1)</f>
        <v>0</v>
      </c>
      <c r="Q15" s="733"/>
      <c r="R15" s="733"/>
      <c r="S15" s="733"/>
      <c r="T15" s="733"/>
      <c r="U15" s="734"/>
      <c r="V15" s="732">
        <f>ROUND(SUMIF($B:$B,V11,$AR:$AR),1)</f>
        <v>0</v>
      </c>
      <c r="W15" s="733"/>
      <c r="X15" s="733"/>
      <c r="Y15" s="733"/>
      <c r="Z15" s="733"/>
      <c r="AA15" s="734"/>
      <c r="AB15" s="732">
        <f>ROUND(SUMIF($B:$B,AB11,$AR:$AR),1)</f>
        <v>0</v>
      </c>
      <c r="AC15" s="733"/>
      <c r="AD15" s="733"/>
      <c r="AE15" s="733"/>
      <c r="AF15" s="733"/>
      <c r="AG15" s="734"/>
      <c r="AH15" s="732">
        <f>ROUND(SUMIF($B:$B,AH11,$AR:$AR),1)</f>
        <v>0</v>
      </c>
      <c r="AI15" s="733"/>
      <c r="AJ15" s="733"/>
      <c r="AK15" s="733"/>
      <c r="AL15" s="733"/>
      <c r="AM15" s="734"/>
      <c r="AN15" s="732">
        <f>ROUND(SUMIF($B:$B,AN11,$AR:$AR),1)</f>
        <v>0</v>
      </c>
      <c r="AO15" s="734"/>
      <c r="AP15" s="732">
        <f>ROUND(SUMIF($B:$B,AP11,$AR:$AR),1)</f>
        <v>0</v>
      </c>
      <c r="AQ15" s="734"/>
      <c r="AR15" s="732">
        <f>SUMIF($B:$B,AR11,$AR:$AR)</f>
        <v>0</v>
      </c>
      <c r="AS15" s="734"/>
      <c r="AT15" s="508"/>
    </row>
    <row r="16" spans="1:53" s="503" customFormat="1" ht="18" customHeight="1">
      <c r="A16" s="497"/>
      <c r="B16" s="511" t="s">
        <v>611</v>
      </c>
      <c r="C16" s="735"/>
      <c r="D16" s="736"/>
      <c r="E16" s="727"/>
      <c r="F16" s="729"/>
      <c r="G16" s="737"/>
      <c r="H16" s="737"/>
      <c r="I16" s="737"/>
      <c r="J16" s="727"/>
      <c r="K16" s="728"/>
      <c r="L16" s="728"/>
      <c r="M16" s="728"/>
      <c r="N16" s="728"/>
      <c r="O16" s="729"/>
      <c r="P16" s="727"/>
      <c r="Q16" s="728"/>
      <c r="R16" s="728"/>
      <c r="S16" s="728"/>
      <c r="T16" s="728"/>
      <c r="U16" s="729"/>
      <c r="V16" s="727"/>
      <c r="W16" s="728"/>
      <c r="X16" s="728"/>
      <c r="Y16" s="728"/>
      <c r="Z16" s="728"/>
      <c r="AA16" s="729"/>
      <c r="AB16" s="727"/>
      <c r="AC16" s="728"/>
      <c r="AD16" s="728"/>
      <c r="AE16" s="728"/>
      <c r="AF16" s="728"/>
      <c r="AG16" s="729"/>
      <c r="AH16" s="727"/>
      <c r="AI16" s="728"/>
      <c r="AJ16" s="728"/>
      <c r="AK16" s="728"/>
      <c r="AL16" s="728"/>
      <c r="AM16" s="729"/>
      <c r="AN16" s="727"/>
      <c r="AO16" s="729"/>
      <c r="AP16" s="727"/>
      <c r="AQ16" s="729"/>
      <c r="AR16" s="727"/>
      <c r="AS16" s="729"/>
      <c r="AT16" s="508"/>
    </row>
    <row r="17" spans="1:51" s="503" customFormat="1" ht="7.5" customHeight="1">
      <c r="A17" s="497"/>
      <c r="B17" s="730" t="s">
        <v>612</v>
      </c>
      <c r="C17" s="730"/>
      <c r="D17" s="730"/>
      <c r="E17" s="730"/>
      <c r="F17" s="730"/>
      <c r="G17" s="730"/>
      <c r="H17" s="730"/>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31"/>
      <c r="C18" s="731"/>
      <c r="D18" s="731"/>
      <c r="E18" s="731"/>
      <c r="F18" s="731"/>
      <c r="G18" s="731"/>
      <c r="H18" s="731"/>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613</v>
      </c>
      <c r="AO18" s="502"/>
      <c r="AP18" s="497"/>
      <c r="AQ18" s="497"/>
      <c r="AR18" s="502"/>
      <c r="AS18" s="502"/>
      <c r="AT18" s="501"/>
    </row>
    <row r="19" spans="1:51" s="500" customFormat="1" ht="15" customHeight="1">
      <c r="A19" s="708" t="s">
        <v>26</v>
      </c>
      <c r="B19" s="707" t="s">
        <v>614</v>
      </c>
      <c r="C19" s="709" t="s">
        <v>615</v>
      </c>
      <c r="D19" s="710"/>
      <c r="E19" s="707" t="s">
        <v>616</v>
      </c>
      <c r="F19" s="715" t="s">
        <v>617</v>
      </c>
      <c r="G19" s="716"/>
      <c r="H19" s="717"/>
      <c r="I19" s="724" t="s">
        <v>618</v>
      </c>
      <c r="J19" s="725"/>
      <c r="K19" s="725"/>
      <c r="L19" s="725"/>
      <c r="M19" s="725"/>
      <c r="N19" s="725"/>
      <c r="O19" s="725"/>
      <c r="P19" s="725"/>
      <c r="Q19" s="725"/>
      <c r="R19" s="725"/>
      <c r="S19" s="725"/>
      <c r="T19" s="725"/>
      <c r="U19" s="725"/>
      <c r="V19" s="725"/>
      <c r="W19" s="725"/>
      <c r="X19" s="725"/>
      <c r="Y19" s="725"/>
      <c r="Z19" s="725"/>
      <c r="AA19" s="725"/>
      <c r="AB19" s="725"/>
      <c r="AC19" s="725"/>
      <c r="AD19" s="725"/>
      <c r="AE19" s="725"/>
      <c r="AF19" s="725"/>
      <c r="AG19" s="725"/>
      <c r="AH19" s="725"/>
      <c r="AI19" s="725"/>
      <c r="AJ19" s="725"/>
      <c r="AK19" s="725"/>
      <c r="AL19" s="725"/>
      <c r="AM19" s="726"/>
      <c r="AN19" s="698" t="s">
        <v>619</v>
      </c>
      <c r="AO19" s="699" t="s">
        <v>620</v>
      </c>
      <c r="AP19" s="700" t="s">
        <v>621</v>
      </c>
      <c r="AQ19" s="701"/>
      <c r="AR19" s="699" t="s">
        <v>622</v>
      </c>
      <c r="AS19" s="699"/>
      <c r="AT19" s="501"/>
    </row>
    <row r="20" spans="1:51" s="500" customFormat="1" ht="15" customHeight="1">
      <c r="A20" s="708"/>
      <c r="B20" s="707"/>
      <c r="C20" s="711"/>
      <c r="D20" s="712"/>
      <c r="E20" s="707"/>
      <c r="F20" s="718"/>
      <c r="G20" s="719"/>
      <c r="H20" s="720"/>
      <c r="I20" s="696" t="s">
        <v>623</v>
      </c>
      <c r="J20" s="706"/>
      <c r="K20" s="706"/>
      <c r="L20" s="706"/>
      <c r="M20" s="706"/>
      <c r="N20" s="706"/>
      <c r="O20" s="697"/>
      <c r="P20" s="707" t="s">
        <v>624</v>
      </c>
      <c r="Q20" s="707"/>
      <c r="R20" s="707"/>
      <c r="S20" s="707"/>
      <c r="T20" s="707"/>
      <c r="U20" s="707"/>
      <c r="V20" s="707"/>
      <c r="W20" s="707" t="s">
        <v>625</v>
      </c>
      <c r="X20" s="707"/>
      <c r="Y20" s="707"/>
      <c r="Z20" s="707"/>
      <c r="AA20" s="707"/>
      <c r="AB20" s="707"/>
      <c r="AC20" s="707"/>
      <c r="AD20" s="707" t="s">
        <v>626</v>
      </c>
      <c r="AE20" s="707"/>
      <c r="AF20" s="707"/>
      <c r="AG20" s="707"/>
      <c r="AH20" s="707"/>
      <c r="AI20" s="707"/>
      <c r="AJ20" s="707"/>
      <c r="AK20" s="707" t="str">
        <f>IF(AN3="暦月","第５週","")</f>
        <v>第５週</v>
      </c>
      <c r="AL20" s="707"/>
      <c r="AM20" s="707"/>
      <c r="AN20" s="698"/>
      <c r="AO20" s="699"/>
      <c r="AP20" s="702"/>
      <c r="AQ20" s="703"/>
      <c r="AR20" s="699"/>
      <c r="AS20" s="699"/>
      <c r="AT20" s="501"/>
    </row>
    <row r="21" spans="1:51" s="500" customFormat="1" ht="15" customHeight="1">
      <c r="A21" s="708"/>
      <c r="B21" s="707"/>
      <c r="C21" s="711"/>
      <c r="D21" s="712"/>
      <c r="E21" s="707"/>
      <c r="F21" s="718"/>
      <c r="G21" s="719"/>
      <c r="H21" s="720"/>
      <c r="I21" s="515">
        <f>DATE($P$2,$V$2,1)</f>
        <v>45474</v>
      </c>
      <c r="J21" s="515">
        <f>DATE($P$2,$V$2,2)</f>
        <v>45475</v>
      </c>
      <c r="K21" s="515">
        <f>DATE($P$2,$V$2,3)</f>
        <v>45476</v>
      </c>
      <c r="L21" s="515">
        <f>DATE($P$2,$V$2,4)</f>
        <v>45477</v>
      </c>
      <c r="M21" s="515">
        <f>DATE($P$2,$V$2,5)</f>
        <v>45478</v>
      </c>
      <c r="N21" s="515">
        <f>DATE($P$2,$V$2,6)</f>
        <v>45479</v>
      </c>
      <c r="O21" s="515">
        <f>DATE($P$2,$V$2,7)</f>
        <v>45480</v>
      </c>
      <c r="P21" s="515">
        <f>DATE($P$2,$V$2,8)</f>
        <v>45481</v>
      </c>
      <c r="Q21" s="515">
        <f>DATE($P$2,$V$2,9)</f>
        <v>45482</v>
      </c>
      <c r="R21" s="515">
        <f>DATE($P$2,$V$2,10)</f>
        <v>45483</v>
      </c>
      <c r="S21" s="515">
        <f>DATE($P$2,$V$2,11)</f>
        <v>45484</v>
      </c>
      <c r="T21" s="515">
        <f>DATE($P$2,$V$2,12)</f>
        <v>45485</v>
      </c>
      <c r="U21" s="515">
        <f>DATE($P$2,$V$2,13)</f>
        <v>45486</v>
      </c>
      <c r="V21" s="515">
        <f>DATE($P$2,$V$2,14)</f>
        <v>45487</v>
      </c>
      <c r="W21" s="515">
        <f>DATE($P$2,$V$2,15)</f>
        <v>45488</v>
      </c>
      <c r="X21" s="515">
        <f>DATE($P$2,$V$2,16)</f>
        <v>45489</v>
      </c>
      <c r="Y21" s="515">
        <f>DATE($P$2,$V$2,17)</f>
        <v>45490</v>
      </c>
      <c r="Z21" s="515">
        <f>DATE($P$2,$V$2,18)</f>
        <v>45491</v>
      </c>
      <c r="AA21" s="515">
        <f>DATE($P$2,$V$2,19)</f>
        <v>45492</v>
      </c>
      <c r="AB21" s="515">
        <f>DATE($P$2,$V$2,20)</f>
        <v>45493</v>
      </c>
      <c r="AC21" s="515">
        <f>DATE($P$2,$V$2,21)</f>
        <v>45494</v>
      </c>
      <c r="AD21" s="515">
        <f>DATE($P$2,$V$2,22)</f>
        <v>45495</v>
      </c>
      <c r="AE21" s="515">
        <f>DATE($P$2,$V$2,23)</f>
        <v>45496</v>
      </c>
      <c r="AF21" s="515">
        <f>DATE($P$2,$V$2,24)</f>
        <v>45497</v>
      </c>
      <c r="AG21" s="515">
        <f>DATE($P$2,$V$2,25)</f>
        <v>45498</v>
      </c>
      <c r="AH21" s="515">
        <f>DATE($P$2,$V$2,26)</f>
        <v>45499</v>
      </c>
      <c r="AI21" s="515">
        <f>DATE($P$2,$V$2,27)</f>
        <v>45500</v>
      </c>
      <c r="AJ21" s="515">
        <f>DATE($P$2,$V$2,28)</f>
        <v>45501</v>
      </c>
      <c r="AK21" s="515">
        <f>IF(AN3="暦月",IF(DAY(EOMONTH(I21,0))&lt;29,"",DATE($P$2,$V$2,29)),"")</f>
        <v>45502</v>
      </c>
      <c r="AL21" s="515">
        <f>IF(AN3="暦月",IF(DAY(EOMONTH(I21,0))&lt;30,"",DATE($P$2,$V$2,30)),"")</f>
        <v>45503</v>
      </c>
      <c r="AM21" s="515">
        <f>IF(AN3="暦月",IF(DAY(EOMONTH(I21,0))&lt;31,"",DATE($P$2,$V$2,31)),"")</f>
        <v>45504</v>
      </c>
      <c r="AN21" s="698"/>
      <c r="AO21" s="699"/>
      <c r="AP21" s="702"/>
      <c r="AQ21" s="703"/>
      <c r="AR21" s="699"/>
      <c r="AS21" s="699"/>
      <c r="AT21" s="501"/>
    </row>
    <row r="22" spans="1:51" s="500" customFormat="1" ht="15" customHeight="1">
      <c r="A22" s="708"/>
      <c r="B22" s="707"/>
      <c r="C22" s="713"/>
      <c r="D22" s="714"/>
      <c r="E22" s="707"/>
      <c r="F22" s="721"/>
      <c r="G22" s="722"/>
      <c r="H22" s="723"/>
      <c r="I22" s="516">
        <f>DATE($P$2,$V$2,1)</f>
        <v>45474</v>
      </c>
      <c r="J22" s="516">
        <f>DATE($P$2,$V$2,2)</f>
        <v>45475</v>
      </c>
      <c r="K22" s="516">
        <f>DATE($P$2,$V$2,3)</f>
        <v>45476</v>
      </c>
      <c r="L22" s="516">
        <f>DATE($P$2,$V$2,4)</f>
        <v>45477</v>
      </c>
      <c r="M22" s="516">
        <f>DATE($P$2,$V$2,5)</f>
        <v>45478</v>
      </c>
      <c r="N22" s="516">
        <f>DATE($P$2,$V$2,6)</f>
        <v>45479</v>
      </c>
      <c r="O22" s="516">
        <f>DATE($P$2,$V$2,7)</f>
        <v>45480</v>
      </c>
      <c r="P22" s="516">
        <f>DATE($P$2,$V$2,8)</f>
        <v>45481</v>
      </c>
      <c r="Q22" s="516">
        <f>DATE($P$2,$V$2,9)</f>
        <v>45482</v>
      </c>
      <c r="R22" s="516">
        <f>DATE($P$2,$V$2,10)</f>
        <v>45483</v>
      </c>
      <c r="S22" s="516">
        <f>DATE($P$2,$V$2,11)</f>
        <v>45484</v>
      </c>
      <c r="T22" s="516">
        <f>DATE($P$2,$V$2,12)</f>
        <v>45485</v>
      </c>
      <c r="U22" s="516">
        <f>DATE($P$2,$V$2,13)</f>
        <v>45486</v>
      </c>
      <c r="V22" s="516">
        <f>DATE($P$2,$V$2,14)</f>
        <v>45487</v>
      </c>
      <c r="W22" s="516">
        <f>DATE($P$2,$V$2,15)</f>
        <v>45488</v>
      </c>
      <c r="X22" s="516">
        <f>DATE($P$2,$V$2,16)</f>
        <v>45489</v>
      </c>
      <c r="Y22" s="516">
        <f>DATE($P$2,$V$2,17)</f>
        <v>45490</v>
      </c>
      <c r="Z22" s="516">
        <f>DATE($P$2,$V$2,18)</f>
        <v>45491</v>
      </c>
      <c r="AA22" s="516">
        <f>DATE($P$2,$V$2,19)</f>
        <v>45492</v>
      </c>
      <c r="AB22" s="516">
        <f>DATE($P$2,$V$2,20)</f>
        <v>45493</v>
      </c>
      <c r="AC22" s="516">
        <f>DATE($P$2,$V$2,21)</f>
        <v>45494</v>
      </c>
      <c r="AD22" s="516">
        <f>DATE($P$2,$V$2,22)</f>
        <v>45495</v>
      </c>
      <c r="AE22" s="516">
        <f>DATE($P$2,$V$2,23)</f>
        <v>45496</v>
      </c>
      <c r="AF22" s="516">
        <f>DATE($P$2,$V$2,24)</f>
        <v>45497</v>
      </c>
      <c r="AG22" s="516">
        <f>DATE($P$2,$V$2,25)</f>
        <v>45498</v>
      </c>
      <c r="AH22" s="516">
        <f>DATE($P$2,$V$2,26)</f>
        <v>45499</v>
      </c>
      <c r="AI22" s="516">
        <f>DATE($P$2,$V$2,27)</f>
        <v>45500</v>
      </c>
      <c r="AJ22" s="516">
        <f>DATE($P$2,$V$2,28)</f>
        <v>45501</v>
      </c>
      <c r="AK22" s="516">
        <f>IF(AN3="暦月",IF(DAY(EOMONTH(I22,0))&lt;29,"",DATE($P$2,$V$2,29)),"")</f>
        <v>45502</v>
      </c>
      <c r="AL22" s="516">
        <f>IF(AN3="暦月",IF(DAY(EOMONTH(I22,0))&lt;30,"",DATE($P$2,$V$2,30)),"")</f>
        <v>45503</v>
      </c>
      <c r="AM22" s="516">
        <f>IF(AN3="暦月",IF(DAY(EOMONTH(I22,0))&lt;31,"",DATE($P$2,$V$2,31)),"")</f>
        <v>45504</v>
      </c>
      <c r="AN22" s="698"/>
      <c r="AO22" s="699"/>
      <c r="AP22" s="704"/>
      <c r="AQ22" s="705"/>
      <c r="AR22" s="699"/>
      <c r="AS22" s="699"/>
      <c r="AT22" s="501"/>
      <c r="AU22" s="696" t="s">
        <v>610</v>
      </c>
      <c r="AV22" s="697"/>
      <c r="AX22" s="696" t="s">
        <v>627</v>
      </c>
      <c r="AY22" s="697"/>
    </row>
    <row r="23" spans="1:51" s="500" customFormat="1" ht="12" customHeight="1">
      <c r="A23" s="672">
        <v>1</v>
      </c>
      <c r="B23" s="675" t="s">
        <v>682</v>
      </c>
      <c r="C23" s="693"/>
      <c r="D23" s="681" t="s">
        <v>628</v>
      </c>
      <c r="E23" s="517"/>
      <c r="F23" s="684"/>
      <c r="G23" s="685"/>
      <c r="H23" s="518" t="s">
        <v>629</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90">
        <f>IF(LEFT($AN$1,6)="共同生活援助",SUM(I24:AM24),SUM(I24:AM25))</f>
        <v>0</v>
      </c>
      <c r="AO23" s="662">
        <f>IF($AN$3="４週",AN23/4,AN23/(DAY(EOMONTH($I$21,0))/7))</f>
        <v>0</v>
      </c>
      <c r="AP23" s="665"/>
      <c r="AQ23" s="666"/>
      <c r="AR23" s="662" t="str">
        <f>IF($AN$3="４週",AU24,AV24)</f>
        <v/>
      </c>
      <c r="AS23" s="662"/>
      <c r="AT23" s="671" t="str">
        <f>IF(AX24&lt;=1.1,"",IF(AY24&lt;=1.1,"",IF(F23="","","勤務時間"&amp;CHAR(10)&amp;"OVER")))</f>
        <v/>
      </c>
      <c r="AU23" s="520" t="s">
        <v>630</v>
      </c>
      <c r="AV23" s="520" t="s">
        <v>631</v>
      </c>
      <c r="AX23" s="520" t="s">
        <v>632</v>
      </c>
      <c r="AY23" s="520" t="s">
        <v>633</v>
      </c>
    </row>
    <row r="24" spans="1:51" s="500" customFormat="1" ht="12" customHeight="1">
      <c r="A24" s="673"/>
      <c r="B24" s="676"/>
      <c r="C24" s="694"/>
      <c r="D24" s="682"/>
      <c r="E24" s="521"/>
      <c r="F24" s="686"/>
      <c r="G24" s="687"/>
      <c r="H24" s="522" t="s">
        <v>634</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91"/>
      <c r="AO24" s="663"/>
      <c r="AP24" s="667"/>
      <c r="AQ24" s="668"/>
      <c r="AR24" s="663"/>
      <c r="AS24" s="663"/>
      <c r="AT24" s="671"/>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4"/>
      <c r="B25" s="677"/>
      <c r="C25" s="695"/>
      <c r="D25" s="683"/>
      <c r="E25" s="521"/>
      <c r="F25" s="688"/>
      <c r="G25" s="689"/>
      <c r="H25" s="525" t="s">
        <v>635</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92"/>
      <c r="AO25" s="664"/>
      <c r="AP25" s="669"/>
      <c r="AQ25" s="670"/>
      <c r="AR25" s="664"/>
      <c r="AS25" s="664"/>
      <c r="AT25" s="671"/>
      <c r="AU25" s="527"/>
      <c r="AV25" s="527"/>
      <c r="AX25" s="527"/>
      <c r="AY25" s="527"/>
    </row>
    <row r="26" spans="1:51" s="500" customFormat="1" ht="12" customHeight="1">
      <c r="A26" s="672">
        <v>2</v>
      </c>
      <c r="B26" s="675" t="s">
        <v>688</v>
      </c>
      <c r="C26" s="693"/>
      <c r="D26" s="681" t="s">
        <v>628</v>
      </c>
      <c r="E26" s="517"/>
      <c r="F26" s="684"/>
      <c r="G26" s="685"/>
      <c r="H26" s="518" t="s">
        <v>629</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90">
        <f t="shared" ref="AN26" si="2">IF(LEFT($AN$1,6)="共同生活援助",SUM(I27:AM27),SUM(I27:AM28))</f>
        <v>0</v>
      </c>
      <c r="AO26" s="662">
        <f>IF($AN$3="４週",AN26/4,AN26/(DAY(EOMONTH($I$21,0))/7))</f>
        <v>0</v>
      </c>
      <c r="AP26" s="665"/>
      <c r="AQ26" s="666"/>
      <c r="AR26" s="662" t="str">
        <f>IF($AN$3="４週",AU27,AV27)</f>
        <v/>
      </c>
      <c r="AS26" s="662"/>
      <c r="AT26" s="671" t="str">
        <f t="shared" ref="AT26" si="3">IF(AX27&lt;=1.1,"",IF(AY27&lt;=1.1,"",IF(F26="","","勤務時間"&amp;CHAR(10)&amp;"OVER")))</f>
        <v/>
      </c>
      <c r="AU26" s="520" t="s">
        <v>630</v>
      </c>
      <c r="AV26" s="520" t="s">
        <v>631</v>
      </c>
      <c r="AX26" s="520" t="s">
        <v>632</v>
      </c>
      <c r="AY26" s="520" t="s">
        <v>633</v>
      </c>
    </row>
    <row r="27" spans="1:51" s="500" customFormat="1" ht="12" customHeight="1">
      <c r="A27" s="673"/>
      <c r="B27" s="676"/>
      <c r="C27" s="694"/>
      <c r="D27" s="682"/>
      <c r="E27" s="521"/>
      <c r="F27" s="686"/>
      <c r="G27" s="687"/>
      <c r="H27" s="522" t="s">
        <v>634</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91"/>
      <c r="AO27" s="663"/>
      <c r="AP27" s="667"/>
      <c r="AQ27" s="668"/>
      <c r="AR27" s="663"/>
      <c r="AS27" s="663"/>
      <c r="AT27" s="671"/>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4"/>
      <c r="B28" s="677"/>
      <c r="C28" s="695"/>
      <c r="D28" s="683"/>
      <c r="E28" s="521"/>
      <c r="F28" s="688"/>
      <c r="G28" s="689"/>
      <c r="H28" s="525" t="s">
        <v>635</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92"/>
      <c r="AO28" s="664"/>
      <c r="AP28" s="669"/>
      <c r="AQ28" s="670"/>
      <c r="AR28" s="664"/>
      <c r="AS28" s="664"/>
      <c r="AT28" s="671"/>
      <c r="AU28" s="527"/>
      <c r="AV28" s="527"/>
      <c r="AX28" s="527"/>
      <c r="AY28" s="527"/>
    </row>
    <row r="29" spans="1:51" s="500" customFormat="1" ht="12" customHeight="1">
      <c r="A29" s="672">
        <v>3</v>
      </c>
      <c r="B29" s="675"/>
      <c r="C29" s="693"/>
      <c r="D29" s="681" t="s">
        <v>628</v>
      </c>
      <c r="E29" s="517"/>
      <c r="F29" s="684"/>
      <c r="G29" s="685"/>
      <c r="H29" s="518" t="s">
        <v>629</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90">
        <f t="shared" ref="AN29" si="6">IF(LEFT($AN$1,6)="共同生活援助",SUM(I30:AM30),SUM(I30:AM31))</f>
        <v>0</v>
      </c>
      <c r="AO29" s="662">
        <f>IF($AN$3="４週",AN29/4,AN29/(DAY(EOMONTH($I$21,0))/7))</f>
        <v>0</v>
      </c>
      <c r="AP29" s="665"/>
      <c r="AQ29" s="666"/>
      <c r="AR29" s="662" t="str">
        <f>IF($AN$3="４週",AU30,AV30)</f>
        <v/>
      </c>
      <c r="AS29" s="662"/>
      <c r="AT29" s="671" t="str">
        <f t="shared" ref="AT29" si="7">IF(AX30&lt;=1.1,"",IF(AY30&lt;=1.1,"",IF(F29="","","勤務時間"&amp;CHAR(10)&amp;"OVER")))</f>
        <v/>
      </c>
      <c r="AU29" s="520" t="s">
        <v>630</v>
      </c>
      <c r="AV29" s="520" t="s">
        <v>631</v>
      </c>
      <c r="AX29" s="520" t="s">
        <v>632</v>
      </c>
      <c r="AY29" s="520" t="s">
        <v>633</v>
      </c>
    </row>
    <row r="30" spans="1:51" s="500" customFormat="1" ht="12" customHeight="1">
      <c r="A30" s="673"/>
      <c r="B30" s="676"/>
      <c r="C30" s="694"/>
      <c r="D30" s="682"/>
      <c r="E30" s="521"/>
      <c r="F30" s="686"/>
      <c r="G30" s="687"/>
      <c r="H30" s="522" t="s">
        <v>634</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91"/>
      <c r="AO30" s="663"/>
      <c r="AP30" s="667"/>
      <c r="AQ30" s="668"/>
      <c r="AR30" s="663"/>
      <c r="AS30" s="663"/>
      <c r="AT30" s="671"/>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4"/>
      <c r="B31" s="677"/>
      <c r="C31" s="695"/>
      <c r="D31" s="683"/>
      <c r="E31" s="521"/>
      <c r="F31" s="688"/>
      <c r="G31" s="689"/>
      <c r="H31" s="525" t="s">
        <v>635</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92"/>
      <c r="AO31" s="664"/>
      <c r="AP31" s="669"/>
      <c r="AQ31" s="670"/>
      <c r="AR31" s="664"/>
      <c r="AS31" s="664"/>
      <c r="AT31" s="671"/>
      <c r="AU31" s="527"/>
      <c r="AV31" s="527"/>
      <c r="AX31" s="527"/>
      <c r="AY31" s="527"/>
    </row>
    <row r="32" spans="1:51" s="500" customFormat="1" ht="12" customHeight="1">
      <c r="A32" s="672">
        <v>4</v>
      </c>
      <c r="B32" s="675"/>
      <c r="C32" s="693"/>
      <c r="D32" s="681" t="s">
        <v>628</v>
      </c>
      <c r="E32" s="517"/>
      <c r="F32" s="684"/>
      <c r="G32" s="685"/>
      <c r="H32" s="518" t="s">
        <v>629</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90">
        <f t="shared" ref="AN32" si="10">IF(LEFT($AN$1,6)="共同生活援助",SUM(I33:AM33),SUM(I33:AM34))</f>
        <v>0</v>
      </c>
      <c r="AO32" s="662">
        <f>IF($AN$3="４週",AN32/4,AN32/(DAY(EOMONTH($I$21,0))/7))</f>
        <v>0</v>
      </c>
      <c r="AP32" s="665"/>
      <c r="AQ32" s="666"/>
      <c r="AR32" s="662" t="str">
        <f t="shared" ref="AR32" si="11">IF($AN$3="４週",AU33,AV33)</f>
        <v/>
      </c>
      <c r="AS32" s="662"/>
      <c r="AT32" s="671" t="str">
        <f t="shared" ref="AT32" si="12">IF(AX33&lt;=1.1,"",IF(AY33&lt;=1.1,"",IF(F32="","","勤務時間"&amp;CHAR(10)&amp;"OVER")))</f>
        <v/>
      </c>
      <c r="AU32" s="520" t="s">
        <v>630</v>
      </c>
      <c r="AV32" s="520" t="s">
        <v>631</v>
      </c>
      <c r="AX32" s="520" t="s">
        <v>632</v>
      </c>
      <c r="AY32" s="520" t="s">
        <v>633</v>
      </c>
    </row>
    <row r="33" spans="1:51" s="500" customFormat="1" ht="12" customHeight="1">
      <c r="A33" s="673"/>
      <c r="B33" s="676"/>
      <c r="C33" s="694"/>
      <c r="D33" s="682"/>
      <c r="E33" s="521"/>
      <c r="F33" s="686"/>
      <c r="G33" s="687"/>
      <c r="H33" s="522" t="s">
        <v>634</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91"/>
      <c r="AO33" s="663"/>
      <c r="AP33" s="667"/>
      <c r="AQ33" s="668"/>
      <c r="AR33" s="663"/>
      <c r="AS33" s="663"/>
      <c r="AT33" s="671"/>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4"/>
      <c r="B34" s="677"/>
      <c r="C34" s="695"/>
      <c r="D34" s="683"/>
      <c r="E34" s="521"/>
      <c r="F34" s="688"/>
      <c r="G34" s="689"/>
      <c r="H34" s="525" t="s">
        <v>635</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92"/>
      <c r="AO34" s="664"/>
      <c r="AP34" s="669"/>
      <c r="AQ34" s="670"/>
      <c r="AR34" s="664"/>
      <c r="AS34" s="664"/>
      <c r="AT34" s="671"/>
      <c r="AU34" s="527"/>
      <c r="AV34" s="527"/>
      <c r="AX34" s="527"/>
      <c r="AY34" s="527"/>
    </row>
    <row r="35" spans="1:51" s="500" customFormat="1" ht="12" customHeight="1">
      <c r="A35" s="672">
        <v>5</v>
      </c>
      <c r="B35" s="675"/>
      <c r="C35" s="693"/>
      <c r="D35" s="681" t="s">
        <v>628</v>
      </c>
      <c r="E35" s="517"/>
      <c r="F35" s="684"/>
      <c r="G35" s="685"/>
      <c r="H35" s="518" t="s">
        <v>629</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90">
        <f t="shared" ref="AN35" si="15">IF(LEFT($AN$1,6)="共同生活援助",SUM(I36:AM36),SUM(I36:AM37))</f>
        <v>0</v>
      </c>
      <c r="AO35" s="662">
        <f>IF($AN$3="４週",AN35/4,AN35/(DAY(EOMONTH($I$21,0))/7))</f>
        <v>0</v>
      </c>
      <c r="AP35" s="665"/>
      <c r="AQ35" s="666"/>
      <c r="AR35" s="662" t="str">
        <f t="shared" ref="AR35" si="16">IF($AN$3="４週",AU36,AV36)</f>
        <v/>
      </c>
      <c r="AS35" s="662"/>
      <c r="AT35" s="671" t="str">
        <f t="shared" ref="AT35" si="17">IF(AX36&lt;=1.1,"",IF(AY36&lt;=1.1,"",IF(F35="","","勤務時間"&amp;CHAR(10)&amp;"OVER")))</f>
        <v/>
      </c>
      <c r="AU35" s="520" t="s">
        <v>630</v>
      </c>
      <c r="AV35" s="520" t="s">
        <v>631</v>
      </c>
      <c r="AX35" s="520" t="s">
        <v>632</v>
      </c>
      <c r="AY35" s="520" t="s">
        <v>633</v>
      </c>
    </row>
    <row r="36" spans="1:51" s="500" customFormat="1" ht="12" customHeight="1">
      <c r="A36" s="673"/>
      <c r="B36" s="676"/>
      <c r="C36" s="694"/>
      <c r="D36" s="682"/>
      <c r="E36" s="521"/>
      <c r="F36" s="686"/>
      <c r="G36" s="687"/>
      <c r="H36" s="522" t="s">
        <v>634</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91"/>
      <c r="AO36" s="663"/>
      <c r="AP36" s="667"/>
      <c r="AQ36" s="668"/>
      <c r="AR36" s="663"/>
      <c r="AS36" s="663"/>
      <c r="AT36" s="671"/>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4"/>
      <c r="B37" s="677"/>
      <c r="C37" s="695"/>
      <c r="D37" s="683"/>
      <c r="E37" s="521"/>
      <c r="F37" s="688"/>
      <c r="G37" s="689"/>
      <c r="H37" s="525" t="s">
        <v>635</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92"/>
      <c r="AO37" s="664"/>
      <c r="AP37" s="669"/>
      <c r="AQ37" s="670"/>
      <c r="AR37" s="664"/>
      <c r="AS37" s="664"/>
      <c r="AT37" s="671"/>
      <c r="AU37" s="527"/>
      <c r="AV37" s="527"/>
      <c r="AX37" s="527"/>
      <c r="AY37" s="527"/>
    </row>
    <row r="38" spans="1:51" s="500" customFormat="1" ht="12" customHeight="1">
      <c r="A38" s="672">
        <v>6</v>
      </c>
      <c r="B38" s="675"/>
      <c r="C38" s="693"/>
      <c r="D38" s="681" t="s">
        <v>628</v>
      </c>
      <c r="E38" s="517"/>
      <c r="F38" s="684"/>
      <c r="G38" s="685"/>
      <c r="H38" s="518" t="s">
        <v>629</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90">
        <f t="shared" ref="AN38" si="20">IF(LEFT($AN$1,6)="共同生活援助",SUM(I39:AM39),SUM(I39:AM40))</f>
        <v>0</v>
      </c>
      <c r="AO38" s="662">
        <f>IF($AN$3="４週",AN38/4,AN38/(DAY(EOMONTH($I$21,0))/7))</f>
        <v>0</v>
      </c>
      <c r="AP38" s="665"/>
      <c r="AQ38" s="666"/>
      <c r="AR38" s="662" t="str">
        <f t="shared" ref="AR38" si="21">IF($AN$3="４週",AU39,AV39)</f>
        <v/>
      </c>
      <c r="AS38" s="662"/>
      <c r="AT38" s="671" t="str">
        <f t="shared" ref="AT38" si="22">IF(AX39&lt;=1.1,"",IF(AY39&lt;=1.1,"",IF(F38="","","勤務時間"&amp;CHAR(10)&amp;"OVER")))</f>
        <v/>
      </c>
      <c r="AU38" s="520" t="s">
        <v>630</v>
      </c>
      <c r="AV38" s="520" t="s">
        <v>631</v>
      </c>
      <c r="AX38" s="520" t="s">
        <v>632</v>
      </c>
      <c r="AY38" s="520" t="s">
        <v>633</v>
      </c>
    </row>
    <row r="39" spans="1:51" s="500" customFormat="1" ht="12" customHeight="1">
      <c r="A39" s="673"/>
      <c r="B39" s="676"/>
      <c r="C39" s="694"/>
      <c r="D39" s="682"/>
      <c r="E39" s="521"/>
      <c r="F39" s="686"/>
      <c r="G39" s="687"/>
      <c r="H39" s="522" t="s">
        <v>634</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91"/>
      <c r="AO39" s="663"/>
      <c r="AP39" s="667"/>
      <c r="AQ39" s="668"/>
      <c r="AR39" s="663"/>
      <c r="AS39" s="663"/>
      <c r="AT39" s="671"/>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4"/>
      <c r="B40" s="677"/>
      <c r="C40" s="695"/>
      <c r="D40" s="683"/>
      <c r="E40" s="521"/>
      <c r="F40" s="688"/>
      <c r="G40" s="689"/>
      <c r="H40" s="525" t="s">
        <v>635</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92"/>
      <c r="AO40" s="664"/>
      <c r="AP40" s="669"/>
      <c r="AQ40" s="670"/>
      <c r="AR40" s="664"/>
      <c r="AS40" s="664"/>
      <c r="AT40" s="671"/>
      <c r="AU40" s="527"/>
      <c r="AV40" s="527"/>
      <c r="AX40" s="527"/>
      <c r="AY40" s="527"/>
    </row>
    <row r="41" spans="1:51" s="500" customFormat="1" ht="12" customHeight="1">
      <c r="A41" s="672">
        <v>7</v>
      </c>
      <c r="B41" s="675"/>
      <c r="C41" s="693"/>
      <c r="D41" s="681" t="s">
        <v>628</v>
      </c>
      <c r="E41" s="517"/>
      <c r="F41" s="684"/>
      <c r="G41" s="685"/>
      <c r="H41" s="518" t="s">
        <v>629</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90">
        <f t="shared" ref="AN41" si="25">IF(LEFT($AN$1,6)="共同生活援助",SUM(I42:AM42),SUM(I42:AM43))</f>
        <v>0</v>
      </c>
      <c r="AO41" s="662">
        <f>IF($AN$3="４週",AN41/4,AN41/(DAY(EOMONTH($I$21,0))/7))</f>
        <v>0</v>
      </c>
      <c r="AP41" s="665"/>
      <c r="AQ41" s="666"/>
      <c r="AR41" s="662" t="str">
        <f t="shared" ref="AR41" si="26">IF($AN$3="４週",AU42,AV42)</f>
        <v/>
      </c>
      <c r="AS41" s="662"/>
      <c r="AT41" s="671" t="str">
        <f t="shared" ref="AT41" si="27">IF(AX42&lt;=1.1,"",IF(AY42&lt;=1.1,"",IF(F41="","","勤務時間"&amp;CHAR(10)&amp;"OVER")))</f>
        <v/>
      </c>
      <c r="AU41" s="520" t="s">
        <v>630</v>
      </c>
      <c r="AV41" s="520" t="s">
        <v>631</v>
      </c>
      <c r="AX41" s="520" t="s">
        <v>632</v>
      </c>
      <c r="AY41" s="520" t="s">
        <v>633</v>
      </c>
    </row>
    <row r="42" spans="1:51" s="500" customFormat="1" ht="12" customHeight="1">
      <c r="A42" s="673"/>
      <c r="B42" s="676"/>
      <c r="C42" s="694"/>
      <c r="D42" s="682"/>
      <c r="E42" s="521"/>
      <c r="F42" s="686"/>
      <c r="G42" s="687"/>
      <c r="H42" s="522" t="s">
        <v>634</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91"/>
      <c r="AO42" s="663"/>
      <c r="AP42" s="667"/>
      <c r="AQ42" s="668"/>
      <c r="AR42" s="663"/>
      <c r="AS42" s="663"/>
      <c r="AT42" s="671"/>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4"/>
      <c r="B43" s="677"/>
      <c r="C43" s="695"/>
      <c r="D43" s="683"/>
      <c r="E43" s="521"/>
      <c r="F43" s="688"/>
      <c r="G43" s="689"/>
      <c r="H43" s="525" t="s">
        <v>635</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92"/>
      <c r="AO43" s="664"/>
      <c r="AP43" s="669"/>
      <c r="AQ43" s="670"/>
      <c r="AR43" s="664"/>
      <c r="AS43" s="664"/>
      <c r="AT43" s="671"/>
      <c r="AU43" s="527"/>
      <c r="AV43" s="527"/>
      <c r="AX43" s="527"/>
      <c r="AY43" s="527"/>
    </row>
    <row r="44" spans="1:51" s="500" customFormat="1" ht="12" customHeight="1">
      <c r="A44" s="672">
        <v>8</v>
      </c>
      <c r="B44" s="675"/>
      <c r="C44" s="693"/>
      <c r="D44" s="681" t="s">
        <v>628</v>
      </c>
      <c r="E44" s="517"/>
      <c r="F44" s="684"/>
      <c r="G44" s="685"/>
      <c r="H44" s="518" t="s">
        <v>629</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90">
        <f t="shared" ref="AN44" si="30">IF(LEFT($AN$1,6)="共同生活援助",SUM(I45:AM45),SUM(I45:AM46))</f>
        <v>0</v>
      </c>
      <c r="AO44" s="662">
        <f>IF($AN$3="４週",AN44/4,AN44/(DAY(EOMONTH($I$21,0))/7))</f>
        <v>0</v>
      </c>
      <c r="AP44" s="665"/>
      <c r="AQ44" s="666"/>
      <c r="AR44" s="662" t="str">
        <f t="shared" ref="AR44" si="31">IF($AN$3="４週",AU45,AV45)</f>
        <v/>
      </c>
      <c r="AS44" s="662"/>
      <c r="AT44" s="671" t="str">
        <f t="shared" ref="AT44" si="32">IF(AX45&lt;=1.1,"",IF(AY45&lt;=1.1,"",IF(F44="","","勤務時間"&amp;CHAR(10)&amp;"OVER")))</f>
        <v/>
      </c>
      <c r="AU44" s="520" t="s">
        <v>630</v>
      </c>
      <c r="AV44" s="520" t="s">
        <v>631</v>
      </c>
      <c r="AX44" s="520" t="s">
        <v>632</v>
      </c>
      <c r="AY44" s="520" t="s">
        <v>633</v>
      </c>
    </row>
    <row r="45" spans="1:51" s="500" customFormat="1" ht="12" customHeight="1">
      <c r="A45" s="673"/>
      <c r="B45" s="676"/>
      <c r="C45" s="694"/>
      <c r="D45" s="682"/>
      <c r="E45" s="521"/>
      <c r="F45" s="686"/>
      <c r="G45" s="687"/>
      <c r="H45" s="522" t="s">
        <v>634</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91"/>
      <c r="AO45" s="663"/>
      <c r="AP45" s="667"/>
      <c r="AQ45" s="668"/>
      <c r="AR45" s="663"/>
      <c r="AS45" s="663"/>
      <c r="AT45" s="671"/>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4"/>
      <c r="B46" s="677"/>
      <c r="C46" s="695"/>
      <c r="D46" s="683"/>
      <c r="E46" s="521"/>
      <c r="F46" s="688"/>
      <c r="G46" s="689"/>
      <c r="H46" s="525" t="s">
        <v>635</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92"/>
      <c r="AO46" s="664"/>
      <c r="AP46" s="669"/>
      <c r="AQ46" s="670"/>
      <c r="AR46" s="664"/>
      <c r="AS46" s="664"/>
      <c r="AT46" s="671"/>
      <c r="AU46" s="527"/>
      <c r="AV46" s="527"/>
      <c r="AX46" s="527"/>
      <c r="AY46" s="527"/>
    </row>
    <row r="47" spans="1:51" s="500" customFormat="1" ht="12" customHeight="1">
      <c r="A47" s="672">
        <v>9</v>
      </c>
      <c r="B47" s="675"/>
      <c r="C47" s="693"/>
      <c r="D47" s="681" t="s">
        <v>628</v>
      </c>
      <c r="E47" s="517"/>
      <c r="F47" s="684"/>
      <c r="G47" s="685"/>
      <c r="H47" s="518" t="s">
        <v>629</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90">
        <f t="shared" ref="AN47" si="35">IF(LEFT($AN$1,6)="共同生活援助",SUM(I48:AM48),SUM(I48:AM49))</f>
        <v>0</v>
      </c>
      <c r="AO47" s="662">
        <f>IF($AN$3="４週",AN47/4,AN47/(DAY(EOMONTH($I$21,0))/7))</f>
        <v>0</v>
      </c>
      <c r="AP47" s="665"/>
      <c r="AQ47" s="666"/>
      <c r="AR47" s="662" t="str">
        <f t="shared" ref="AR47" si="36">IF($AN$3="４週",AU48,AV48)</f>
        <v/>
      </c>
      <c r="AS47" s="662"/>
      <c r="AT47" s="671" t="str">
        <f t="shared" ref="AT47" si="37">IF(AX48&lt;=1.1,"",IF(AY48&lt;=1.1,"",IF(F47="","","勤務時間"&amp;CHAR(10)&amp;"OVER")))</f>
        <v/>
      </c>
      <c r="AU47" s="520" t="s">
        <v>630</v>
      </c>
      <c r="AV47" s="520" t="s">
        <v>631</v>
      </c>
      <c r="AX47" s="520" t="s">
        <v>632</v>
      </c>
      <c r="AY47" s="520" t="s">
        <v>633</v>
      </c>
    </row>
    <row r="48" spans="1:51" s="500" customFormat="1" ht="12" customHeight="1">
      <c r="A48" s="673"/>
      <c r="B48" s="676"/>
      <c r="C48" s="694"/>
      <c r="D48" s="682"/>
      <c r="E48" s="521"/>
      <c r="F48" s="686"/>
      <c r="G48" s="687"/>
      <c r="H48" s="522" t="s">
        <v>634</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91"/>
      <c r="AO48" s="663"/>
      <c r="AP48" s="667"/>
      <c r="AQ48" s="668"/>
      <c r="AR48" s="663"/>
      <c r="AS48" s="663"/>
      <c r="AT48" s="671"/>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4"/>
      <c r="B49" s="677"/>
      <c r="C49" s="695"/>
      <c r="D49" s="683"/>
      <c r="E49" s="521"/>
      <c r="F49" s="688"/>
      <c r="G49" s="689"/>
      <c r="H49" s="525" t="s">
        <v>635</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92"/>
      <c r="AO49" s="664"/>
      <c r="AP49" s="669"/>
      <c r="AQ49" s="670"/>
      <c r="AR49" s="664"/>
      <c r="AS49" s="664"/>
      <c r="AT49" s="671"/>
      <c r="AU49" s="527"/>
      <c r="AV49" s="527"/>
      <c r="AX49" s="527"/>
      <c r="AY49" s="527"/>
    </row>
    <row r="50" spans="1:51" s="500" customFormat="1" ht="12" customHeight="1">
      <c r="A50" s="672">
        <v>10</v>
      </c>
      <c r="B50" s="675"/>
      <c r="C50" s="693"/>
      <c r="D50" s="681" t="s">
        <v>628</v>
      </c>
      <c r="E50" s="517"/>
      <c r="F50" s="684"/>
      <c r="G50" s="685"/>
      <c r="H50" s="518" t="s">
        <v>629</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90">
        <f t="shared" ref="AN50" si="40">IF(LEFT($AN$1,6)="共同生活援助",SUM(I51:AM51),SUM(I51:AM52))</f>
        <v>0</v>
      </c>
      <c r="AO50" s="662">
        <f>IF($AN$3="４週",AN50/4,AN50/(DAY(EOMONTH($I$21,0))/7))</f>
        <v>0</v>
      </c>
      <c r="AP50" s="665"/>
      <c r="AQ50" s="666"/>
      <c r="AR50" s="662" t="str">
        <f t="shared" ref="AR50" si="41">IF($AN$3="４週",AU51,AV51)</f>
        <v/>
      </c>
      <c r="AS50" s="662"/>
      <c r="AT50" s="671" t="str">
        <f t="shared" ref="AT50" si="42">IF(AX51&lt;=1.1,"",IF(AY51&lt;=1.1,"",IF(F50="","","勤務時間"&amp;CHAR(10)&amp;"OVER")))</f>
        <v/>
      </c>
      <c r="AU50" s="520" t="s">
        <v>630</v>
      </c>
      <c r="AV50" s="520" t="s">
        <v>631</v>
      </c>
      <c r="AX50" s="520" t="s">
        <v>632</v>
      </c>
      <c r="AY50" s="520" t="s">
        <v>633</v>
      </c>
    </row>
    <row r="51" spans="1:51" s="500" customFormat="1" ht="12" customHeight="1">
      <c r="A51" s="673"/>
      <c r="B51" s="676"/>
      <c r="C51" s="694"/>
      <c r="D51" s="682"/>
      <c r="E51" s="521"/>
      <c r="F51" s="686"/>
      <c r="G51" s="687"/>
      <c r="H51" s="522" t="s">
        <v>634</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91"/>
      <c r="AO51" s="663"/>
      <c r="AP51" s="667"/>
      <c r="AQ51" s="668"/>
      <c r="AR51" s="663"/>
      <c r="AS51" s="663"/>
      <c r="AT51" s="671"/>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4"/>
      <c r="B52" s="677"/>
      <c r="C52" s="695"/>
      <c r="D52" s="683"/>
      <c r="E52" s="521"/>
      <c r="F52" s="688"/>
      <c r="G52" s="689"/>
      <c r="H52" s="525" t="s">
        <v>635</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92"/>
      <c r="AO52" s="664"/>
      <c r="AP52" s="669"/>
      <c r="AQ52" s="670"/>
      <c r="AR52" s="664"/>
      <c r="AS52" s="664"/>
      <c r="AT52" s="671"/>
      <c r="AU52" s="527"/>
      <c r="AV52" s="527"/>
      <c r="AX52" s="527"/>
      <c r="AY52" s="527"/>
    </row>
    <row r="53" spans="1:51" s="500" customFormat="1" ht="12" customHeight="1">
      <c r="A53" s="672">
        <v>11</v>
      </c>
      <c r="B53" s="675"/>
      <c r="C53" s="693"/>
      <c r="D53" s="681" t="s">
        <v>628</v>
      </c>
      <c r="E53" s="517"/>
      <c r="F53" s="684"/>
      <c r="G53" s="685"/>
      <c r="H53" s="518" t="s">
        <v>629</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90">
        <f t="shared" ref="AN53" si="45">IF(LEFT($AN$1,6)="共同生活援助",SUM(I54:AM54),SUM(I54:AM55))</f>
        <v>0</v>
      </c>
      <c r="AO53" s="662">
        <f>IF($AN$3="４週",AN53/4,AN53/(DAY(EOMONTH($I$21,0))/7))</f>
        <v>0</v>
      </c>
      <c r="AP53" s="665"/>
      <c r="AQ53" s="666"/>
      <c r="AR53" s="662" t="str">
        <f t="shared" ref="AR53" si="46">IF($AN$3="４週",AU54,AV54)</f>
        <v/>
      </c>
      <c r="AS53" s="662"/>
      <c r="AT53" s="671" t="str">
        <f t="shared" ref="AT53" si="47">IF(AX54&lt;=1.1,"",IF(AY54&lt;=1.1,"",IF(F53="","","勤務時間"&amp;CHAR(10)&amp;"OVER")))</f>
        <v/>
      </c>
      <c r="AU53" s="520" t="s">
        <v>630</v>
      </c>
      <c r="AV53" s="520" t="s">
        <v>631</v>
      </c>
      <c r="AX53" s="520" t="s">
        <v>632</v>
      </c>
      <c r="AY53" s="520" t="s">
        <v>633</v>
      </c>
    </row>
    <row r="54" spans="1:51" s="500" customFormat="1" ht="12" customHeight="1">
      <c r="A54" s="673"/>
      <c r="B54" s="676"/>
      <c r="C54" s="694"/>
      <c r="D54" s="682"/>
      <c r="E54" s="521"/>
      <c r="F54" s="686"/>
      <c r="G54" s="687"/>
      <c r="H54" s="522" t="s">
        <v>634</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91"/>
      <c r="AO54" s="663"/>
      <c r="AP54" s="667"/>
      <c r="AQ54" s="668"/>
      <c r="AR54" s="663"/>
      <c r="AS54" s="663"/>
      <c r="AT54" s="671"/>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4"/>
      <c r="B55" s="677"/>
      <c r="C55" s="695"/>
      <c r="D55" s="683"/>
      <c r="E55" s="521"/>
      <c r="F55" s="688"/>
      <c r="G55" s="689"/>
      <c r="H55" s="525" t="s">
        <v>635</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92"/>
      <c r="AO55" s="664"/>
      <c r="AP55" s="669"/>
      <c r="AQ55" s="670"/>
      <c r="AR55" s="664"/>
      <c r="AS55" s="664"/>
      <c r="AT55" s="671"/>
      <c r="AU55" s="527"/>
      <c r="AV55" s="527"/>
      <c r="AX55" s="527"/>
      <c r="AY55" s="527"/>
    </row>
    <row r="56" spans="1:51" s="500" customFormat="1" ht="12" customHeight="1">
      <c r="A56" s="672">
        <v>12</v>
      </c>
      <c r="B56" s="675"/>
      <c r="C56" s="693"/>
      <c r="D56" s="681" t="s">
        <v>628</v>
      </c>
      <c r="E56" s="517"/>
      <c r="F56" s="684"/>
      <c r="G56" s="685"/>
      <c r="H56" s="518" t="s">
        <v>629</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90">
        <f t="shared" ref="AN56" si="50">IF(LEFT($AN$1,6)="共同生活援助",SUM(I57:AM57),SUM(I57:AM58))</f>
        <v>0</v>
      </c>
      <c r="AO56" s="662">
        <f>IF($AN$3="４週",AN56/4,AN56/(DAY(EOMONTH($I$21,0))/7))</f>
        <v>0</v>
      </c>
      <c r="AP56" s="665"/>
      <c r="AQ56" s="666"/>
      <c r="AR56" s="662" t="str">
        <f t="shared" ref="AR56" si="51">IF($AN$3="４週",AU57,AV57)</f>
        <v/>
      </c>
      <c r="AS56" s="662"/>
      <c r="AT56" s="671" t="str">
        <f t="shared" ref="AT56" si="52">IF(AX57&lt;=1.1,"",IF(AY57&lt;=1.1,"",IF(F56="","","勤務時間"&amp;CHAR(10)&amp;"OVER")))</f>
        <v/>
      </c>
      <c r="AU56" s="520" t="s">
        <v>630</v>
      </c>
      <c r="AV56" s="520" t="s">
        <v>631</v>
      </c>
      <c r="AX56" s="520" t="s">
        <v>632</v>
      </c>
      <c r="AY56" s="520" t="s">
        <v>633</v>
      </c>
    </row>
    <row r="57" spans="1:51" s="500" customFormat="1" ht="12" customHeight="1">
      <c r="A57" s="673"/>
      <c r="B57" s="676"/>
      <c r="C57" s="694"/>
      <c r="D57" s="682"/>
      <c r="E57" s="521"/>
      <c r="F57" s="686"/>
      <c r="G57" s="687"/>
      <c r="H57" s="522" t="s">
        <v>634</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91"/>
      <c r="AO57" s="663"/>
      <c r="AP57" s="667"/>
      <c r="AQ57" s="668"/>
      <c r="AR57" s="663"/>
      <c r="AS57" s="663"/>
      <c r="AT57" s="671"/>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4"/>
      <c r="B58" s="677"/>
      <c r="C58" s="695"/>
      <c r="D58" s="683"/>
      <c r="E58" s="521"/>
      <c r="F58" s="688"/>
      <c r="G58" s="689"/>
      <c r="H58" s="525" t="s">
        <v>635</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92"/>
      <c r="AO58" s="664"/>
      <c r="AP58" s="669"/>
      <c r="AQ58" s="670"/>
      <c r="AR58" s="664"/>
      <c r="AS58" s="664"/>
      <c r="AT58" s="671"/>
      <c r="AU58" s="527"/>
      <c r="AV58" s="527"/>
      <c r="AX58" s="527"/>
      <c r="AY58" s="527"/>
    </row>
    <row r="59" spans="1:51" s="500" customFormat="1" ht="12" customHeight="1">
      <c r="A59" s="672">
        <v>13</v>
      </c>
      <c r="B59" s="675"/>
      <c r="C59" s="693"/>
      <c r="D59" s="681" t="s">
        <v>628</v>
      </c>
      <c r="E59" s="517"/>
      <c r="F59" s="684"/>
      <c r="G59" s="685"/>
      <c r="H59" s="518" t="s">
        <v>629</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90">
        <f t="shared" ref="AN59" si="55">IF(LEFT($AN$1,6)="共同生活援助",SUM(I60:AM60),SUM(I60:AM61))</f>
        <v>0</v>
      </c>
      <c r="AO59" s="662">
        <f>IF($AN$3="４週",AN59/4,AN59/(DAY(EOMONTH($I$21,0))/7))</f>
        <v>0</v>
      </c>
      <c r="AP59" s="665"/>
      <c r="AQ59" s="666"/>
      <c r="AR59" s="662" t="str">
        <f t="shared" ref="AR59" si="56">IF($AN$3="４週",AU60,AV60)</f>
        <v/>
      </c>
      <c r="AS59" s="662"/>
      <c r="AT59" s="671" t="str">
        <f t="shared" ref="AT59" si="57">IF(AX60&lt;=1.1,"",IF(AY60&lt;=1.1,"",IF(F59="","","勤務時間"&amp;CHAR(10)&amp;"OVER")))</f>
        <v/>
      </c>
      <c r="AU59" s="520" t="s">
        <v>630</v>
      </c>
      <c r="AV59" s="520" t="s">
        <v>631</v>
      </c>
      <c r="AX59" s="520" t="s">
        <v>632</v>
      </c>
      <c r="AY59" s="520" t="s">
        <v>633</v>
      </c>
    </row>
    <row r="60" spans="1:51" s="500" customFormat="1" ht="12" customHeight="1">
      <c r="A60" s="673"/>
      <c r="B60" s="676"/>
      <c r="C60" s="694"/>
      <c r="D60" s="682"/>
      <c r="E60" s="521"/>
      <c r="F60" s="686"/>
      <c r="G60" s="687"/>
      <c r="H60" s="522" t="s">
        <v>634</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91"/>
      <c r="AO60" s="663"/>
      <c r="AP60" s="667"/>
      <c r="AQ60" s="668"/>
      <c r="AR60" s="663"/>
      <c r="AS60" s="663"/>
      <c r="AT60" s="671"/>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4"/>
      <c r="B61" s="677"/>
      <c r="C61" s="695"/>
      <c r="D61" s="683"/>
      <c r="E61" s="521"/>
      <c r="F61" s="688"/>
      <c r="G61" s="689"/>
      <c r="H61" s="525" t="s">
        <v>635</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92"/>
      <c r="AO61" s="664"/>
      <c r="AP61" s="669"/>
      <c r="AQ61" s="670"/>
      <c r="AR61" s="664"/>
      <c r="AS61" s="664"/>
      <c r="AT61" s="671"/>
      <c r="AU61" s="527"/>
      <c r="AV61" s="527"/>
      <c r="AX61" s="527"/>
      <c r="AY61" s="527"/>
    </row>
    <row r="62" spans="1:51" s="500" customFormat="1" ht="12" customHeight="1">
      <c r="A62" s="672">
        <v>14</v>
      </c>
      <c r="B62" s="675"/>
      <c r="C62" s="693"/>
      <c r="D62" s="681" t="s">
        <v>628</v>
      </c>
      <c r="E62" s="517"/>
      <c r="F62" s="684"/>
      <c r="G62" s="685"/>
      <c r="H62" s="518" t="s">
        <v>629</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90">
        <f t="shared" ref="AN62" si="60">IF(LEFT($AN$1,6)="共同生活援助",SUM(I63:AM63),SUM(I63:AM64))</f>
        <v>0</v>
      </c>
      <c r="AO62" s="662">
        <f>IF($AN$3="４週",AN62/4,AN62/(DAY(EOMONTH($I$21,0))/7))</f>
        <v>0</v>
      </c>
      <c r="AP62" s="665"/>
      <c r="AQ62" s="666"/>
      <c r="AR62" s="662" t="str">
        <f t="shared" ref="AR62" si="61">IF($AN$3="４週",AU63,AV63)</f>
        <v/>
      </c>
      <c r="AS62" s="662"/>
      <c r="AT62" s="671" t="str">
        <f t="shared" ref="AT62" si="62">IF(AX63&lt;=1.1,"",IF(AY63&lt;=1.1,"",IF(F62="","","勤務時間"&amp;CHAR(10)&amp;"OVER")))</f>
        <v/>
      </c>
      <c r="AU62" s="520" t="s">
        <v>630</v>
      </c>
      <c r="AV62" s="520" t="s">
        <v>631</v>
      </c>
      <c r="AX62" s="520" t="s">
        <v>632</v>
      </c>
      <c r="AY62" s="520" t="s">
        <v>633</v>
      </c>
    </row>
    <row r="63" spans="1:51" s="500" customFormat="1" ht="12" customHeight="1">
      <c r="A63" s="673"/>
      <c r="B63" s="676"/>
      <c r="C63" s="694"/>
      <c r="D63" s="682"/>
      <c r="E63" s="521"/>
      <c r="F63" s="686"/>
      <c r="G63" s="687"/>
      <c r="H63" s="522" t="s">
        <v>634</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91"/>
      <c r="AO63" s="663"/>
      <c r="AP63" s="667"/>
      <c r="AQ63" s="668"/>
      <c r="AR63" s="663"/>
      <c r="AS63" s="663"/>
      <c r="AT63" s="671"/>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4"/>
      <c r="B64" s="677"/>
      <c r="C64" s="695"/>
      <c r="D64" s="683"/>
      <c r="E64" s="521"/>
      <c r="F64" s="688"/>
      <c r="G64" s="689"/>
      <c r="H64" s="525" t="s">
        <v>635</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92"/>
      <c r="AO64" s="664"/>
      <c r="AP64" s="669"/>
      <c r="AQ64" s="670"/>
      <c r="AR64" s="664"/>
      <c r="AS64" s="664"/>
      <c r="AT64" s="671"/>
      <c r="AU64" s="527"/>
      <c r="AV64" s="527"/>
      <c r="AX64" s="527"/>
      <c r="AY64" s="527"/>
    </row>
    <row r="65" spans="1:51" s="500" customFormat="1" ht="12" customHeight="1">
      <c r="A65" s="672">
        <v>15</v>
      </c>
      <c r="B65" s="675"/>
      <c r="C65" s="693"/>
      <c r="D65" s="681" t="s">
        <v>628</v>
      </c>
      <c r="E65" s="517"/>
      <c r="F65" s="684"/>
      <c r="G65" s="685"/>
      <c r="H65" s="518" t="s">
        <v>629</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90">
        <f t="shared" ref="AN65" si="65">IF(LEFT($AN$1,6)="共同生活援助",SUM(I66:AM66),SUM(I66:AM67))</f>
        <v>0</v>
      </c>
      <c r="AO65" s="662">
        <f>IF($AN$3="４週",AN65/4,AN65/(DAY(EOMONTH($I$21,0))/7))</f>
        <v>0</v>
      </c>
      <c r="AP65" s="665"/>
      <c r="AQ65" s="666"/>
      <c r="AR65" s="662" t="str">
        <f t="shared" ref="AR65" si="66">IF($AN$3="４週",AU66,AV66)</f>
        <v/>
      </c>
      <c r="AS65" s="662"/>
      <c r="AT65" s="671" t="str">
        <f t="shared" ref="AT65" si="67">IF(AX66&lt;=1.1,"",IF(AY66&lt;=1.1,"",IF(F65="","","勤務時間"&amp;CHAR(10)&amp;"OVER")))</f>
        <v/>
      </c>
      <c r="AU65" s="520" t="s">
        <v>630</v>
      </c>
      <c r="AV65" s="520" t="s">
        <v>631</v>
      </c>
      <c r="AX65" s="520" t="s">
        <v>632</v>
      </c>
      <c r="AY65" s="520" t="s">
        <v>633</v>
      </c>
    </row>
    <row r="66" spans="1:51" s="500" customFormat="1" ht="12" customHeight="1">
      <c r="A66" s="673"/>
      <c r="B66" s="676"/>
      <c r="C66" s="694"/>
      <c r="D66" s="682"/>
      <c r="E66" s="521"/>
      <c r="F66" s="686"/>
      <c r="G66" s="687"/>
      <c r="H66" s="522" t="s">
        <v>634</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91"/>
      <c r="AO66" s="663"/>
      <c r="AP66" s="667"/>
      <c r="AQ66" s="668"/>
      <c r="AR66" s="663"/>
      <c r="AS66" s="663"/>
      <c r="AT66" s="671"/>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4"/>
      <c r="B67" s="677"/>
      <c r="C67" s="695"/>
      <c r="D67" s="683"/>
      <c r="E67" s="521"/>
      <c r="F67" s="688"/>
      <c r="G67" s="689"/>
      <c r="H67" s="525" t="s">
        <v>635</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92"/>
      <c r="AO67" s="664"/>
      <c r="AP67" s="669"/>
      <c r="AQ67" s="670"/>
      <c r="AR67" s="664"/>
      <c r="AS67" s="664"/>
      <c r="AT67" s="671"/>
      <c r="AU67" s="527"/>
      <c r="AV67" s="527"/>
      <c r="AX67" s="527"/>
      <c r="AY67" s="527"/>
    </row>
    <row r="68" spans="1:51" s="500" customFormat="1" ht="12" customHeight="1">
      <c r="A68" s="672">
        <v>16</v>
      </c>
      <c r="B68" s="675"/>
      <c r="C68" s="693"/>
      <c r="D68" s="681" t="s">
        <v>628</v>
      </c>
      <c r="E68" s="517"/>
      <c r="F68" s="684"/>
      <c r="G68" s="685"/>
      <c r="H68" s="518" t="s">
        <v>629</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90">
        <f t="shared" ref="AN68" si="70">IF(LEFT($AN$1,6)="共同生活援助",SUM(I69:AM69),SUM(I69:AM70))</f>
        <v>0</v>
      </c>
      <c r="AO68" s="662">
        <f>IF($AN$3="４週",AN68/4,AN68/(DAY(EOMONTH($I$21,0))/7))</f>
        <v>0</v>
      </c>
      <c r="AP68" s="665"/>
      <c r="AQ68" s="666"/>
      <c r="AR68" s="662" t="str">
        <f t="shared" ref="AR68" si="71">IF($AN$3="４週",AU69,AV69)</f>
        <v/>
      </c>
      <c r="AS68" s="662"/>
      <c r="AT68" s="671" t="str">
        <f t="shared" ref="AT68" si="72">IF(AX69&lt;=1.1,"",IF(AY69&lt;=1.1,"",IF(F68="","","勤務時間"&amp;CHAR(10)&amp;"OVER")))</f>
        <v/>
      </c>
      <c r="AU68" s="520" t="s">
        <v>630</v>
      </c>
      <c r="AV68" s="520" t="s">
        <v>631</v>
      </c>
      <c r="AX68" s="520" t="s">
        <v>632</v>
      </c>
      <c r="AY68" s="520" t="s">
        <v>633</v>
      </c>
    </row>
    <row r="69" spans="1:51" s="500" customFormat="1" ht="12" customHeight="1">
      <c r="A69" s="673"/>
      <c r="B69" s="676"/>
      <c r="C69" s="694"/>
      <c r="D69" s="682"/>
      <c r="E69" s="521"/>
      <c r="F69" s="686"/>
      <c r="G69" s="687"/>
      <c r="H69" s="522" t="s">
        <v>634</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91"/>
      <c r="AO69" s="663"/>
      <c r="AP69" s="667"/>
      <c r="AQ69" s="668"/>
      <c r="AR69" s="663"/>
      <c r="AS69" s="663"/>
      <c r="AT69" s="671"/>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4"/>
      <c r="B70" s="677"/>
      <c r="C70" s="695"/>
      <c r="D70" s="683"/>
      <c r="E70" s="521"/>
      <c r="F70" s="688"/>
      <c r="G70" s="689"/>
      <c r="H70" s="525" t="s">
        <v>635</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92"/>
      <c r="AO70" s="664"/>
      <c r="AP70" s="669"/>
      <c r="AQ70" s="670"/>
      <c r="AR70" s="664"/>
      <c r="AS70" s="664"/>
      <c r="AT70" s="671"/>
      <c r="AU70" s="527"/>
      <c r="AV70" s="527"/>
      <c r="AX70" s="527"/>
      <c r="AY70" s="527"/>
    </row>
    <row r="71" spans="1:51" s="500" customFormat="1" ht="12" customHeight="1">
      <c r="A71" s="672">
        <v>17</v>
      </c>
      <c r="B71" s="675"/>
      <c r="C71" s="678"/>
      <c r="D71" s="681" t="s">
        <v>628</v>
      </c>
      <c r="E71" s="517"/>
      <c r="F71" s="684"/>
      <c r="G71" s="685"/>
      <c r="H71" s="518" t="s">
        <v>629</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90">
        <f t="shared" ref="AN71" si="75">IF(LEFT($AN$1,6)="共同生活援助",SUM(I72:AM72),SUM(I72:AM73))</f>
        <v>0</v>
      </c>
      <c r="AO71" s="662">
        <f>IF($AN$3="４週",AN71/4,AN71/(DAY(EOMONTH($I$21,0))/7))</f>
        <v>0</v>
      </c>
      <c r="AP71" s="665"/>
      <c r="AQ71" s="666"/>
      <c r="AR71" s="662" t="str">
        <f t="shared" ref="AR71" si="76">IF($AN$3="４週",AU72,AV72)</f>
        <v/>
      </c>
      <c r="AS71" s="662"/>
      <c r="AT71" s="671" t="str">
        <f t="shared" ref="AT71" si="77">IF(AX72&lt;=1.1,"",IF(AY72&lt;=1.1,"",IF(F71="","","勤務時間"&amp;CHAR(10)&amp;"OVER")))</f>
        <v/>
      </c>
      <c r="AU71" s="520" t="s">
        <v>630</v>
      </c>
      <c r="AV71" s="520" t="s">
        <v>631</v>
      </c>
      <c r="AX71" s="520" t="s">
        <v>632</v>
      </c>
      <c r="AY71" s="520" t="s">
        <v>633</v>
      </c>
    </row>
    <row r="72" spans="1:51" s="500" customFormat="1" ht="12" customHeight="1">
      <c r="A72" s="673"/>
      <c r="B72" s="676"/>
      <c r="C72" s="679"/>
      <c r="D72" s="682"/>
      <c r="E72" s="521"/>
      <c r="F72" s="686"/>
      <c r="G72" s="687"/>
      <c r="H72" s="522" t="s">
        <v>634</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91"/>
      <c r="AO72" s="663"/>
      <c r="AP72" s="667"/>
      <c r="AQ72" s="668"/>
      <c r="AR72" s="663"/>
      <c r="AS72" s="663"/>
      <c r="AT72" s="671"/>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4"/>
      <c r="B73" s="677"/>
      <c r="C73" s="680"/>
      <c r="D73" s="683"/>
      <c r="E73" s="521"/>
      <c r="F73" s="688"/>
      <c r="G73" s="689"/>
      <c r="H73" s="525" t="s">
        <v>635</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92"/>
      <c r="AO73" s="664"/>
      <c r="AP73" s="669"/>
      <c r="AQ73" s="670"/>
      <c r="AR73" s="664"/>
      <c r="AS73" s="664"/>
      <c r="AT73" s="671"/>
      <c r="AU73" s="527"/>
      <c r="AV73" s="527"/>
      <c r="AX73" s="527"/>
      <c r="AY73" s="527"/>
    </row>
    <row r="74" spans="1:51" s="500" customFormat="1" ht="12" customHeight="1">
      <c r="A74" s="672">
        <v>18</v>
      </c>
      <c r="B74" s="675"/>
      <c r="C74" s="693"/>
      <c r="D74" s="681" t="s">
        <v>628</v>
      </c>
      <c r="E74" s="517"/>
      <c r="F74" s="684"/>
      <c r="G74" s="685"/>
      <c r="H74" s="518" t="s">
        <v>629</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90">
        <f t="shared" ref="AN74" si="80">IF(LEFT($AN$1,6)="共同生活援助",SUM(I75:AM75),SUM(I75:AM76))</f>
        <v>0</v>
      </c>
      <c r="AO74" s="662">
        <f>IF($AN$3="４週",AN74/4,AN74/(DAY(EOMONTH($I$21,0))/7))</f>
        <v>0</v>
      </c>
      <c r="AP74" s="665"/>
      <c r="AQ74" s="666"/>
      <c r="AR74" s="662" t="str">
        <f t="shared" ref="AR74" si="81">IF($AN$3="４週",AU75,AV75)</f>
        <v/>
      </c>
      <c r="AS74" s="662"/>
      <c r="AT74" s="671" t="str">
        <f t="shared" ref="AT74" si="82">IF(AX75&lt;=1.1,"",IF(AY75&lt;=1.1,"",IF(F74="","","勤務時間"&amp;CHAR(10)&amp;"OVER")))</f>
        <v/>
      </c>
      <c r="AU74" s="520" t="s">
        <v>630</v>
      </c>
      <c r="AV74" s="520" t="s">
        <v>631</v>
      </c>
      <c r="AX74" s="520" t="s">
        <v>632</v>
      </c>
      <c r="AY74" s="520" t="s">
        <v>633</v>
      </c>
    </row>
    <row r="75" spans="1:51" s="500" customFormat="1" ht="12" customHeight="1">
      <c r="A75" s="673"/>
      <c r="B75" s="676"/>
      <c r="C75" s="694"/>
      <c r="D75" s="682"/>
      <c r="E75" s="521"/>
      <c r="F75" s="686"/>
      <c r="G75" s="687"/>
      <c r="H75" s="522" t="s">
        <v>634</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91"/>
      <c r="AO75" s="663"/>
      <c r="AP75" s="667"/>
      <c r="AQ75" s="668"/>
      <c r="AR75" s="663"/>
      <c r="AS75" s="663"/>
      <c r="AT75" s="671"/>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4"/>
      <c r="B76" s="677"/>
      <c r="C76" s="695"/>
      <c r="D76" s="683"/>
      <c r="E76" s="521"/>
      <c r="F76" s="688"/>
      <c r="G76" s="689"/>
      <c r="H76" s="525" t="s">
        <v>635</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92"/>
      <c r="AO76" s="664"/>
      <c r="AP76" s="669"/>
      <c r="AQ76" s="670"/>
      <c r="AR76" s="664"/>
      <c r="AS76" s="664"/>
      <c r="AT76" s="671"/>
      <c r="AU76" s="527"/>
      <c r="AV76" s="527"/>
      <c r="AX76" s="527"/>
      <c r="AY76" s="527"/>
    </row>
    <row r="77" spans="1:51" s="500" customFormat="1" ht="12" customHeight="1">
      <c r="A77" s="672">
        <v>19</v>
      </c>
      <c r="B77" s="675"/>
      <c r="C77" s="693"/>
      <c r="D77" s="681" t="s">
        <v>628</v>
      </c>
      <c r="E77" s="517"/>
      <c r="F77" s="684"/>
      <c r="G77" s="685"/>
      <c r="H77" s="518" t="s">
        <v>629</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90">
        <f t="shared" ref="AN77" si="85">IF(LEFT($AN$1,6)="共同生活援助",SUM(I78:AM78),SUM(I78:AM79))</f>
        <v>0</v>
      </c>
      <c r="AO77" s="662">
        <f>IF($AN$3="４週",AN77/4,AN77/(DAY(EOMONTH($I$21,0))/7))</f>
        <v>0</v>
      </c>
      <c r="AP77" s="665"/>
      <c r="AQ77" s="666"/>
      <c r="AR77" s="662" t="str">
        <f t="shared" ref="AR77" si="86">IF($AN$3="４週",AU78,AV78)</f>
        <v/>
      </c>
      <c r="AS77" s="662"/>
      <c r="AT77" s="671" t="str">
        <f t="shared" ref="AT77" si="87">IF(AX78&lt;=1.1,"",IF(AY78&lt;=1.1,"",IF(F77="","","勤務時間"&amp;CHAR(10)&amp;"OVER")))</f>
        <v/>
      </c>
      <c r="AU77" s="520" t="s">
        <v>630</v>
      </c>
      <c r="AV77" s="520" t="s">
        <v>631</v>
      </c>
      <c r="AX77" s="520" t="s">
        <v>632</v>
      </c>
      <c r="AY77" s="520" t="s">
        <v>633</v>
      </c>
    </row>
    <row r="78" spans="1:51" s="500" customFormat="1" ht="12" customHeight="1">
      <c r="A78" s="673"/>
      <c r="B78" s="676"/>
      <c r="C78" s="694"/>
      <c r="D78" s="682"/>
      <c r="E78" s="521"/>
      <c r="F78" s="686"/>
      <c r="G78" s="687"/>
      <c r="H78" s="522" t="s">
        <v>634</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91"/>
      <c r="AO78" s="663"/>
      <c r="AP78" s="667"/>
      <c r="AQ78" s="668"/>
      <c r="AR78" s="663"/>
      <c r="AS78" s="663"/>
      <c r="AT78" s="671"/>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4"/>
      <c r="B79" s="677"/>
      <c r="C79" s="695"/>
      <c r="D79" s="683"/>
      <c r="E79" s="521"/>
      <c r="F79" s="688"/>
      <c r="G79" s="689"/>
      <c r="H79" s="525" t="s">
        <v>635</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92"/>
      <c r="AO79" s="664"/>
      <c r="AP79" s="669"/>
      <c r="AQ79" s="670"/>
      <c r="AR79" s="664"/>
      <c r="AS79" s="664"/>
      <c r="AT79" s="671"/>
      <c r="AU79" s="527"/>
      <c r="AV79" s="527"/>
      <c r="AX79" s="527"/>
      <c r="AY79" s="527"/>
    </row>
    <row r="80" spans="1:51" s="500" customFormat="1" ht="12" customHeight="1">
      <c r="A80" s="672">
        <v>20</v>
      </c>
      <c r="B80" s="675"/>
      <c r="C80" s="693"/>
      <c r="D80" s="681" t="s">
        <v>628</v>
      </c>
      <c r="E80" s="517"/>
      <c r="F80" s="684"/>
      <c r="G80" s="685"/>
      <c r="H80" s="518" t="s">
        <v>629</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90">
        <f t="shared" ref="AN80" si="90">IF(LEFT($AN$1,6)="共同生活援助",SUM(I81:AM81),SUM(I81:AM82))</f>
        <v>0</v>
      </c>
      <c r="AO80" s="662">
        <f>IF($AN$3="４週",AN80/4,AN80/(DAY(EOMONTH($I$21,0))/7))</f>
        <v>0</v>
      </c>
      <c r="AP80" s="665"/>
      <c r="AQ80" s="666"/>
      <c r="AR80" s="662" t="str">
        <f t="shared" ref="AR80" si="91">IF($AN$3="４週",AU81,AV81)</f>
        <v/>
      </c>
      <c r="AS80" s="662"/>
      <c r="AT80" s="671" t="str">
        <f t="shared" ref="AT80" si="92">IF(AX81&lt;=1.1,"",IF(AY81&lt;=1.1,"",IF(F80="","","勤務時間"&amp;CHAR(10)&amp;"OVER")))</f>
        <v/>
      </c>
      <c r="AU80" s="520" t="s">
        <v>630</v>
      </c>
      <c r="AV80" s="520" t="s">
        <v>631</v>
      </c>
      <c r="AX80" s="520" t="s">
        <v>632</v>
      </c>
      <c r="AY80" s="520" t="s">
        <v>633</v>
      </c>
    </row>
    <row r="81" spans="1:51" s="500" customFormat="1" ht="12" customHeight="1">
      <c r="A81" s="673"/>
      <c r="B81" s="676"/>
      <c r="C81" s="694"/>
      <c r="D81" s="682"/>
      <c r="E81" s="521"/>
      <c r="F81" s="686"/>
      <c r="G81" s="687"/>
      <c r="H81" s="522" t="s">
        <v>634</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91"/>
      <c r="AO81" s="663"/>
      <c r="AP81" s="667"/>
      <c r="AQ81" s="668"/>
      <c r="AR81" s="663"/>
      <c r="AS81" s="663"/>
      <c r="AT81" s="671"/>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4"/>
      <c r="B82" s="677"/>
      <c r="C82" s="695"/>
      <c r="D82" s="683"/>
      <c r="E82" s="521"/>
      <c r="F82" s="688"/>
      <c r="G82" s="689"/>
      <c r="H82" s="525" t="s">
        <v>635</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92"/>
      <c r="AO82" s="664"/>
      <c r="AP82" s="669"/>
      <c r="AQ82" s="670"/>
      <c r="AR82" s="664"/>
      <c r="AS82" s="664"/>
      <c r="AT82" s="671"/>
      <c r="AU82" s="527"/>
      <c r="AV82" s="527"/>
      <c r="AX82" s="527"/>
      <c r="AY82" s="527"/>
    </row>
    <row r="83" spans="1:51" s="500" customFormat="1" ht="12" customHeight="1">
      <c r="A83" s="672">
        <v>21</v>
      </c>
      <c r="B83" s="675"/>
      <c r="C83" s="693"/>
      <c r="D83" s="681" t="s">
        <v>628</v>
      </c>
      <c r="E83" s="517"/>
      <c r="F83" s="684"/>
      <c r="G83" s="685"/>
      <c r="H83" s="518" t="s">
        <v>629</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90">
        <f t="shared" ref="AN83" si="95">IF(LEFT($AN$1,6)="共同生活援助",SUM(I84:AM84),SUM(I84:AM85))</f>
        <v>0</v>
      </c>
      <c r="AO83" s="662">
        <f>IF($AN$3="４週",AN83/4,AN83/(DAY(EOMONTH($I$21,0))/7))</f>
        <v>0</v>
      </c>
      <c r="AP83" s="665"/>
      <c r="AQ83" s="666"/>
      <c r="AR83" s="662" t="str">
        <f t="shared" ref="AR83" si="96">IF($AN$3="４週",AU84,AV84)</f>
        <v/>
      </c>
      <c r="AS83" s="662"/>
      <c r="AT83" s="671" t="str">
        <f t="shared" ref="AT83" si="97">IF(AX84&lt;=1.1,"",IF(AY84&lt;=1.1,"",IF(F83="","","勤務時間"&amp;CHAR(10)&amp;"OVER")))</f>
        <v/>
      </c>
      <c r="AU83" s="520" t="s">
        <v>630</v>
      </c>
      <c r="AV83" s="520" t="s">
        <v>631</v>
      </c>
      <c r="AX83" s="520" t="s">
        <v>632</v>
      </c>
      <c r="AY83" s="520" t="s">
        <v>633</v>
      </c>
    </row>
    <row r="84" spans="1:51" s="500" customFormat="1" ht="12" customHeight="1">
      <c r="A84" s="673"/>
      <c r="B84" s="676"/>
      <c r="C84" s="694"/>
      <c r="D84" s="682"/>
      <c r="E84" s="521"/>
      <c r="F84" s="686"/>
      <c r="G84" s="687"/>
      <c r="H84" s="522" t="s">
        <v>634</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91"/>
      <c r="AO84" s="663"/>
      <c r="AP84" s="667"/>
      <c r="AQ84" s="668"/>
      <c r="AR84" s="663"/>
      <c r="AS84" s="663"/>
      <c r="AT84" s="671"/>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4"/>
      <c r="B85" s="677"/>
      <c r="C85" s="695"/>
      <c r="D85" s="683"/>
      <c r="E85" s="521"/>
      <c r="F85" s="688"/>
      <c r="G85" s="689"/>
      <c r="H85" s="525" t="s">
        <v>635</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92"/>
      <c r="AO85" s="664"/>
      <c r="AP85" s="669"/>
      <c r="AQ85" s="670"/>
      <c r="AR85" s="664"/>
      <c r="AS85" s="664"/>
      <c r="AT85" s="671"/>
      <c r="AU85" s="527"/>
      <c r="AV85" s="527"/>
      <c r="AX85" s="527"/>
      <c r="AY85" s="527"/>
    </row>
    <row r="86" spans="1:51" s="500" customFormat="1" ht="12" customHeight="1">
      <c r="A86" s="672">
        <v>22</v>
      </c>
      <c r="B86" s="675"/>
      <c r="C86" s="693"/>
      <c r="D86" s="681" t="s">
        <v>628</v>
      </c>
      <c r="E86" s="517"/>
      <c r="F86" s="684"/>
      <c r="G86" s="685"/>
      <c r="H86" s="518" t="s">
        <v>629</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90">
        <f t="shared" ref="AN86" si="98">IF(LEFT($AN$1,6)="共同生活援助",SUM(I87:AM87),SUM(I87:AM88))</f>
        <v>0</v>
      </c>
      <c r="AO86" s="662">
        <f>IF($AN$3="４週",AN86/4,AN86/(DAY(EOMONTH($I$21,0))/7))</f>
        <v>0</v>
      </c>
      <c r="AP86" s="665"/>
      <c r="AQ86" s="666"/>
      <c r="AR86" s="662" t="str">
        <f t="shared" ref="AR86" si="99">IF($AN$3="４週",AU87,AV87)</f>
        <v/>
      </c>
      <c r="AS86" s="662"/>
      <c r="AT86" s="671" t="str">
        <f t="shared" ref="AT86" si="100">IF(AX87&lt;=1.1,"",IF(AY87&lt;=1.1,"",IF(F86="","","勤務時間"&amp;CHAR(10)&amp;"OVER")))</f>
        <v/>
      </c>
      <c r="AU86" s="520" t="s">
        <v>630</v>
      </c>
      <c r="AV86" s="520" t="s">
        <v>631</v>
      </c>
      <c r="AX86" s="520" t="s">
        <v>632</v>
      </c>
      <c r="AY86" s="520" t="s">
        <v>633</v>
      </c>
    </row>
    <row r="87" spans="1:51" s="500" customFormat="1" ht="12" customHeight="1">
      <c r="A87" s="673"/>
      <c r="B87" s="676"/>
      <c r="C87" s="694"/>
      <c r="D87" s="682"/>
      <c r="E87" s="521"/>
      <c r="F87" s="686"/>
      <c r="G87" s="687"/>
      <c r="H87" s="522" t="s">
        <v>634</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91"/>
      <c r="AO87" s="663"/>
      <c r="AP87" s="667"/>
      <c r="AQ87" s="668"/>
      <c r="AR87" s="663"/>
      <c r="AS87" s="663"/>
      <c r="AT87" s="671"/>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4"/>
      <c r="B88" s="677"/>
      <c r="C88" s="695"/>
      <c r="D88" s="683"/>
      <c r="E88" s="521"/>
      <c r="F88" s="688"/>
      <c r="G88" s="689"/>
      <c r="H88" s="525" t="s">
        <v>635</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92"/>
      <c r="AO88" s="664"/>
      <c r="AP88" s="669"/>
      <c r="AQ88" s="670"/>
      <c r="AR88" s="664"/>
      <c r="AS88" s="664"/>
      <c r="AT88" s="671"/>
      <c r="AU88" s="527"/>
      <c r="AV88" s="527"/>
      <c r="AX88" s="527"/>
      <c r="AY88" s="527"/>
    </row>
    <row r="89" spans="1:51" s="500" customFormat="1" ht="12" customHeight="1">
      <c r="A89" s="672">
        <v>23</v>
      </c>
      <c r="B89" s="675"/>
      <c r="C89" s="693"/>
      <c r="D89" s="681" t="s">
        <v>628</v>
      </c>
      <c r="E89" s="517"/>
      <c r="F89" s="684"/>
      <c r="G89" s="685"/>
      <c r="H89" s="518" t="s">
        <v>629</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90">
        <f t="shared" ref="AN89" si="103">IF(LEFT($AN$1,6)="共同生活援助",SUM(I90:AM90),SUM(I90:AM91))</f>
        <v>0</v>
      </c>
      <c r="AO89" s="662">
        <f>IF($AN$3="４週",AN89/4,AN89/(DAY(EOMONTH($I$21,0))/7))</f>
        <v>0</v>
      </c>
      <c r="AP89" s="665"/>
      <c r="AQ89" s="666"/>
      <c r="AR89" s="662" t="str">
        <f t="shared" ref="AR89" si="104">IF($AN$3="４週",AU90,AV90)</f>
        <v/>
      </c>
      <c r="AS89" s="662"/>
      <c r="AT89" s="671" t="str">
        <f t="shared" ref="AT89" si="105">IF(AX90&lt;=1.1,"",IF(AY90&lt;=1.1,"",IF(F89="","","勤務時間"&amp;CHAR(10)&amp;"OVER")))</f>
        <v/>
      </c>
      <c r="AU89" s="520" t="s">
        <v>630</v>
      </c>
      <c r="AV89" s="520" t="s">
        <v>631</v>
      </c>
      <c r="AX89" s="520" t="s">
        <v>632</v>
      </c>
      <c r="AY89" s="520" t="s">
        <v>633</v>
      </c>
    </row>
    <row r="90" spans="1:51" s="500" customFormat="1" ht="12" customHeight="1">
      <c r="A90" s="673"/>
      <c r="B90" s="676"/>
      <c r="C90" s="694"/>
      <c r="D90" s="682"/>
      <c r="E90" s="521"/>
      <c r="F90" s="686"/>
      <c r="G90" s="687"/>
      <c r="H90" s="522" t="s">
        <v>634</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91"/>
      <c r="AO90" s="663"/>
      <c r="AP90" s="667"/>
      <c r="AQ90" s="668"/>
      <c r="AR90" s="663"/>
      <c r="AS90" s="663"/>
      <c r="AT90" s="671"/>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4"/>
      <c r="B91" s="677"/>
      <c r="C91" s="695"/>
      <c r="D91" s="683"/>
      <c r="E91" s="521"/>
      <c r="F91" s="688"/>
      <c r="G91" s="689"/>
      <c r="H91" s="525" t="s">
        <v>635</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92"/>
      <c r="AO91" s="664"/>
      <c r="AP91" s="669"/>
      <c r="AQ91" s="670"/>
      <c r="AR91" s="664"/>
      <c r="AS91" s="664"/>
      <c r="AT91" s="671"/>
      <c r="AU91" s="527"/>
      <c r="AV91" s="527"/>
      <c r="AX91" s="527"/>
      <c r="AY91" s="527"/>
    </row>
    <row r="92" spans="1:51" s="500" customFormat="1" ht="12" customHeight="1">
      <c r="A92" s="672">
        <v>24</v>
      </c>
      <c r="B92" s="675"/>
      <c r="C92" s="693"/>
      <c r="D92" s="681" t="s">
        <v>628</v>
      </c>
      <c r="E92" s="517"/>
      <c r="F92" s="684"/>
      <c r="G92" s="685"/>
      <c r="H92" s="518" t="s">
        <v>629</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90">
        <f t="shared" ref="AN92" si="108">IF(LEFT($AN$1,6)="共同生活援助",SUM(I93:AM93),SUM(I93:AM94))</f>
        <v>0</v>
      </c>
      <c r="AO92" s="662">
        <f>IF($AN$3="４週",AN92/4,AN92/(DAY(EOMONTH($I$21,0))/7))</f>
        <v>0</v>
      </c>
      <c r="AP92" s="665"/>
      <c r="AQ92" s="666"/>
      <c r="AR92" s="662" t="str">
        <f t="shared" ref="AR92" si="109">IF($AN$3="４週",AU93,AV93)</f>
        <v/>
      </c>
      <c r="AS92" s="662"/>
      <c r="AT92" s="671" t="str">
        <f t="shared" ref="AT92" si="110">IF(AX93&lt;=1.1,"",IF(AY93&lt;=1.1,"",IF(F92="","","勤務時間"&amp;CHAR(10)&amp;"OVER")))</f>
        <v/>
      </c>
      <c r="AU92" s="520" t="s">
        <v>630</v>
      </c>
      <c r="AV92" s="520" t="s">
        <v>631</v>
      </c>
      <c r="AX92" s="520" t="s">
        <v>632</v>
      </c>
      <c r="AY92" s="520" t="s">
        <v>633</v>
      </c>
    </row>
    <row r="93" spans="1:51" s="500" customFormat="1" ht="12" customHeight="1">
      <c r="A93" s="673"/>
      <c r="B93" s="676"/>
      <c r="C93" s="694"/>
      <c r="D93" s="682"/>
      <c r="E93" s="521"/>
      <c r="F93" s="686"/>
      <c r="G93" s="687"/>
      <c r="H93" s="522" t="s">
        <v>634</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91"/>
      <c r="AO93" s="663"/>
      <c r="AP93" s="667"/>
      <c r="AQ93" s="668"/>
      <c r="AR93" s="663"/>
      <c r="AS93" s="663"/>
      <c r="AT93" s="671"/>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4"/>
      <c r="B94" s="677"/>
      <c r="C94" s="695"/>
      <c r="D94" s="683"/>
      <c r="E94" s="521"/>
      <c r="F94" s="688"/>
      <c r="G94" s="689"/>
      <c r="H94" s="525" t="s">
        <v>635</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92"/>
      <c r="AO94" s="664"/>
      <c r="AP94" s="669"/>
      <c r="AQ94" s="670"/>
      <c r="AR94" s="664"/>
      <c r="AS94" s="664"/>
      <c r="AT94" s="671"/>
      <c r="AU94" s="527"/>
      <c r="AV94" s="527"/>
      <c r="AX94" s="527"/>
      <c r="AY94" s="527"/>
    </row>
    <row r="95" spans="1:51" s="500" customFormat="1" ht="12" customHeight="1">
      <c r="A95" s="672">
        <v>25</v>
      </c>
      <c r="B95" s="675"/>
      <c r="C95" s="693"/>
      <c r="D95" s="681" t="s">
        <v>628</v>
      </c>
      <c r="E95" s="517"/>
      <c r="F95" s="684"/>
      <c r="G95" s="685"/>
      <c r="H95" s="518" t="s">
        <v>629</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90">
        <f t="shared" ref="AN95" si="113">IF(LEFT($AN$1,6)="共同生活援助",SUM(I96:AM96),SUM(I96:AM97))</f>
        <v>0</v>
      </c>
      <c r="AO95" s="662">
        <f>IF($AN$3="４週",AN95/4,AN95/(DAY(EOMONTH($I$21,0))/7))</f>
        <v>0</v>
      </c>
      <c r="AP95" s="665"/>
      <c r="AQ95" s="666"/>
      <c r="AR95" s="662" t="str">
        <f t="shared" ref="AR95" si="114">IF($AN$3="４週",AU96,AV96)</f>
        <v/>
      </c>
      <c r="AS95" s="662"/>
      <c r="AT95" s="671" t="str">
        <f t="shared" ref="AT95" si="115">IF(AX96&lt;=1.1,"",IF(AY96&lt;=1.1,"",IF(F95="","","勤務時間"&amp;CHAR(10)&amp;"OVER")))</f>
        <v/>
      </c>
      <c r="AU95" s="520" t="s">
        <v>630</v>
      </c>
      <c r="AV95" s="520" t="s">
        <v>631</v>
      </c>
      <c r="AX95" s="520" t="s">
        <v>632</v>
      </c>
      <c r="AY95" s="520" t="s">
        <v>633</v>
      </c>
    </row>
    <row r="96" spans="1:51" s="500" customFormat="1" ht="12" customHeight="1">
      <c r="A96" s="673"/>
      <c r="B96" s="676"/>
      <c r="C96" s="694"/>
      <c r="D96" s="682"/>
      <c r="E96" s="521"/>
      <c r="F96" s="686"/>
      <c r="G96" s="687"/>
      <c r="H96" s="522" t="s">
        <v>634</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91"/>
      <c r="AO96" s="663"/>
      <c r="AP96" s="667"/>
      <c r="AQ96" s="668"/>
      <c r="AR96" s="663"/>
      <c r="AS96" s="663"/>
      <c r="AT96" s="671"/>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4"/>
      <c r="B97" s="677"/>
      <c r="C97" s="695"/>
      <c r="D97" s="683"/>
      <c r="E97" s="521"/>
      <c r="F97" s="688"/>
      <c r="G97" s="689"/>
      <c r="H97" s="525" t="s">
        <v>635</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92"/>
      <c r="AO97" s="664"/>
      <c r="AP97" s="669"/>
      <c r="AQ97" s="670"/>
      <c r="AR97" s="664"/>
      <c r="AS97" s="664"/>
      <c r="AT97" s="671"/>
      <c r="AU97" s="527"/>
      <c r="AV97" s="527"/>
      <c r="AX97" s="527"/>
      <c r="AY97" s="527"/>
    </row>
    <row r="98" spans="1:51" s="500" customFormat="1" ht="12" customHeight="1">
      <c r="A98" s="672">
        <v>26</v>
      </c>
      <c r="B98" s="675"/>
      <c r="C98" s="693"/>
      <c r="D98" s="681" t="s">
        <v>628</v>
      </c>
      <c r="E98" s="517"/>
      <c r="F98" s="684"/>
      <c r="G98" s="685"/>
      <c r="H98" s="518" t="s">
        <v>629</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90">
        <f t="shared" ref="AN98" si="118">IF(LEFT($AN$1,6)="共同生活援助",SUM(I99:AM99),SUM(I99:AM100))</f>
        <v>0</v>
      </c>
      <c r="AO98" s="662">
        <f>IF($AN$3="４週",AN98/4,AN98/(DAY(EOMONTH($I$21,0))/7))</f>
        <v>0</v>
      </c>
      <c r="AP98" s="665"/>
      <c r="AQ98" s="666"/>
      <c r="AR98" s="662" t="str">
        <f t="shared" ref="AR98" si="119">IF($AN$3="４週",AU99,AV99)</f>
        <v/>
      </c>
      <c r="AS98" s="662"/>
      <c r="AT98" s="671" t="str">
        <f t="shared" ref="AT98" si="120">IF(AX99&lt;=1.1,"",IF(AY99&lt;=1.1,"",IF(F98="","","勤務時間"&amp;CHAR(10)&amp;"OVER")))</f>
        <v/>
      </c>
      <c r="AU98" s="520" t="s">
        <v>630</v>
      </c>
      <c r="AV98" s="520" t="s">
        <v>631</v>
      </c>
      <c r="AX98" s="520" t="s">
        <v>632</v>
      </c>
      <c r="AY98" s="520" t="s">
        <v>633</v>
      </c>
    </row>
    <row r="99" spans="1:51" s="500" customFormat="1" ht="12" customHeight="1">
      <c r="A99" s="673"/>
      <c r="B99" s="676"/>
      <c r="C99" s="694"/>
      <c r="D99" s="682"/>
      <c r="E99" s="521"/>
      <c r="F99" s="686"/>
      <c r="G99" s="687"/>
      <c r="H99" s="522" t="s">
        <v>634</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91"/>
      <c r="AO99" s="663"/>
      <c r="AP99" s="667"/>
      <c r="AQ99" s="668"/>
      <c r="AR99" s="663"/>
      <c r="AS99" s="663"/>
      <c r="AT99" s="671"/>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4"/>
      <c r="B100" s="677"/>
      <c r="C100" s="695"/>
      <c r="D100" s="683"/>
      <c r="E100" s="521"/>
      <c r="F100" s="688"/>
      <c r="G100" s="689"/>
      <c r="H100" s="525" t="s">
        <v>635</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92"/>
      <c r="AO100" s="664"/>
      <c r="AP100" s="669"/>
      <c r="AQ100" s="670"/>
      <c r="AR100" s="664"/>
      <c r="AS100" s="664"/>
      <c r="AT100" s="671"/>
      <c r="AU100" s="527"/>
      <c r="AV100" s="527"/>
      <c r="AX100" s="527"/>
      <c r="AY100" s="527"/>
    </row>
    <row r="101" spans="1:51" s="500" customFormat="1" ht="12" customHeight="1">
      <c r="A101" s="672">
        <v>27</v>
      </c>
      <c r="B101" s="675"/>
      <c r="C101" s="693"/>
      <c r="D101" s="681" t="s">
        <v>628</v>
      </c>
      <c r="E101" s="517"/>
      <c r="F101" s="684"/>
      <c r="G101" s="685"/>
      <c r="H101" s="518" t="s">
        <v>629</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90">
        <f t="shared" ref="AN101" si="123">IF(LEFT($AN$1,6)="共同生活援助",SUM(I102:AM102),SUM(I102:AM103))</f>
        <v>0</v>
      </c>
      <c r="AO101" s="662">
        <f>IF($AN$3="４週",AN101/4,AN101/(DAY(EOMONTH($I$21,0))/7))</f>
        <v>0</v>
      </c>
      <c r="AP101" s="665"/>
      <c r="AQ101" s="666"/>
      <c r="AR101" s="662" t="str">
        <f t="shared" ref="AR101" si="124">IF($AN$3="４週",AU102,AV102)</f>
        <v/>
      </c>
      <c r="AS101" s="662"/>
      <c r="AT101" s="671" t="str">
        <f t="shared" ref="AT101" si="125">IF(AX102&lt;=1.1,"",IF(AY102&lt;=1.1,"",IF(F101="","","勤務時間"&amp;CHAR(10)&amp;"OVER")))</f>
        <v/>
      </c>
      <c r="AU101" s="520" t="s">
        <v>630</v>
      </c>
      <c r="AV101" s="520" t="s">
        <v>631</v>
      </c>
      <c r="AX101" s="520" t="s">
        <v>632</v>
      </c>
      <c r="AY101" s="520" t="s">
        <v>633</v>
      </c>
    </row>
    <row r="102" spans="1:51" s="500" customFormat="1" ht="12" customHeight="1">
      <c r="A102" s="673"/>
      <c r="B102" s="676"/>
      <c r="C102" s="694"/>
      <c r="D102" s="682"/>
      <c r="E102" s="521"/>
      <c r="F102" s="686"/>
      <c r="G102" s="687"/>
      <c r="H102" s="522" t="s">
        <v>634</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91"/>
      <c r="AO102" s="663"/>
      <c r="AP102" s="667"/>
      <c r="AQ102" s="668"/>
      <c r="AR102" s="663"/>
      <c r="AS102" s="663"/>
      <c r="AT102" s="671"/>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4"/>
      <c r="B103" s="677"/>
      <c r="C103" s="695"/>
      <c r="D103" s="683"/>
      <c r="E103" s="521"/>
      <c r="F103" s="688"/>
      <c r="G103" s="689"/>
      <c r="H103" s="525" t="s">
        <v>635</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92"/>
      <c r="AO103" s="664"/>
      <c r="AP103" s="669"/>
      <c r="AQ103" s="670"/>
      <c r="AR103" s="664"/>
      <c r="AS103" s="664"/>
      <c r="AT103" s="671"/>
      <c r="AU103" s="527"/>
      <c r="AV103" s="527"/>
      <c r="AX103" s="527"/>
      <c r="AY103" s="527"/>
    </row>
    <row r="104" spans="1:51" s="500" customFormat="1" ht="12" customHeight="1">
      <c r="A104" s="672">
        <v>28</v>
      </c>
      <c r="B104" s="675"/>
      <c r="C104" s="693"/>
      <c r="D104" s="681" t="s">
        <v>628</v>
      </c>
      <c r="E104" s="517"/>
      <c r="F104" s="684"/>
      <c r="G104" s="685"/>
      <c r="H104" s="518" t="s">
        <v>629</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90">
        <f t="shared" ref="AN104" si="128">IF(LEFT($AN$1,6)="共同生活援助",SUM(I105:AM105),SUM(I105:AM106))</f>
        <v>0</v>
      </c>
      <c r="AO104" s="662">
        <f>IF($AN$3="４週",AN104/4,AN104/(DAY(EOMONTH($I$21,0))/7))</f>
        <v>0</v>
      </c>
      <c r="AP104" s="665"/>
      <c r="AQ104" s="666"/>
      <c r="AR104" s="662" t="str">
        <f t="shared" ref="AR104" si="129">IF($AN$3="４週",AU105,AV105)</f>
        <v/>
      </c>
      <c r="AS104" s="662"/>
      <c r="AT104" s="671" t="str">
        <f t="shared" ref="AT104" si="130">IF(AX105&lt;=1.1,"",IF(AY105&lt;=1.1,"",IF(F104="","","勤務時間"&amp;CHAR(10)&amp;"OVER")))</f>
        <v/>
      </c>
      <c r="AU104" s="520" t="s">
        <v>630</v>
      </c>
      <c r="AV104" s="520" t="s">
        <v>631</v>
      </c>
      <c r="AX104" s="520" t="s">
        <v>632</v>
      </c>
      <c r="AY104" s="520" t="s">
        <v>633</v>
      </c>
    </row>
    <row r="105" spans="1:51" s="500" customFormat="1" ht="12" customHeight="1">
      <c r="A105" s="673"/>
      <c r="B105" s="676"/>
      <c r="C105" s="694"/>
      <c r="D105" s="682"/>
      <c r="E105" s="521"/>
      <c r="F105" s="686"/>
      <c r="G105" s="687"/>
      <c r="H105" s="522" t="s">
        <v>634</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91"/>
      <c r="AO105" s="663"/>
      <c r="AP105" s="667"/>
      <c r="AQ105" s="668"/>
      <c r="AR105" s="663"/>
      <c r="AS105" s="663"/>
      <c r="AT105" s="671"/>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4"/>
      <c r="B106" s="677"/>
      <c r="C106" s="695"/>
      <c r="D106" s="683"/>
      <c r="E106" s="521"/>
      <c r="F106" s="688"/>
      <c r="G106" s="689"/>
      <c r="H106" s="525" t="s">
        <v>635</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92"/>
      <c r="AO106" s="664"/>
      <c r="AP106" s="669"/>
      <c r="AQ106" s="670"/>
      <c r="AR106" s="664"/>
      <c r="AS106" s="664"/>
      <c r="AT106" s="671"/>
      <c r="AU106" s="527"/>
      <c r="AV106" s="527"/>
      <c r="AX106" s="527"/>
      <c r="AY106" s="527"/>
    </row>
    <row r="107" spans="1:51" s="500" customFormat="1" ht="12" customHeight="1">
      <c r="A107" s="672">
        <v>29</v>
      </c>
      <c r="B107" s="675"/>
      <c r="C107" s="693"/>
      <c r="D107" s="681" t="s">
        <v>628</v>
      </c>
      <c r="E107" s="517"/>
      <c r="F107" s="684"/>
      <c r="G107" s="685"/>
      <c r="H107" s="518" t="s">
        <v>629</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90">
        <f t="shared" ref="AN107" si="133">IF(LEFT($AN$1,6)="共同生活援助",SUM(I108:AM108),SUM(I108:AM109))</f>
        <v>0</v>
      </c>
      <c r="AO107" s="662">
        <f>IF($AN$3="４週",AN107/4,AN107/(DAY(EOMONTH($I$21,0))/7))</f>
        <v>0</v>
      </c>
      <c r="AP107" s="665"/>
      <c r="AQ107" s="666"/>
      <c r="AR107" s="662" t="str">
        <f t="shared" ref="AR107" si="134">IF($AN$3="４週",AU108,AV108)</f>
        <v/>
      </c>
      <c r="AS107" s="662"/>
      <c r="AT107" s="671" t="str">
        <f t="shared" ref="AT107" si="135">IF(AX108&lt;=1.1,"",IF(AY108&lt;=1.1,"",IF(F107="","","勤務時間"&amp;CHAR(10)&amp;"OVER")))</f>
        <v/>
      </c>
      <c r="AU107" s="520" t="s">
        <v>630</v>
      </c>
      <c r="AV107" s="520" t="s">
        <v>631</v>
      </c>
      <c r="AX107" s="520" t="s">
        <v>632</v>
      </c>
      <c r="AY107" s="520" t="s">
        <v>633</v>
      </c>
    </row>
    <row r="108" spans="1:51" s="500" customFormat="1" ht="12" customHeight="1">
      <c r="A108" s="673"/>
      <c r="B108" s="676"/>
      <c r="C108" s="694"/>
      <c r="D108" s="682"/>
      <c r="E108" s="521"/>
      <c r="F108" s="686"/>
      <c r="G108" s="687"/>
      <c r="H108" s="522" t="s">
        <v>634</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91"/>
      <c r="AO108" s="663"/>
      <c r="AP108" s="667"/>
      <c r="AQ108" s="668"/>
      <c r="AR108" s="663"/>
      <c r="AS108" s="663"/>
      <c r="AT108" s="671"/>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4"/>
      <c r="B109" s="677"/>
      <c r="C109" s="695"/>
      <c r="D109" s="683"/>
      <c r="E109" s="521"/>
      <c r="F109" s="688"/>
      <c r="G109" s="689"/>
      <c r="H109" s="525" t="s">
        <v>635</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92"/>
      <c r="AO109" s="664"/>
      <c r="AP109" s="669"/>
      <c r="AQ109" s="670"/>
      <c r="AR109" s="664"/>
      <c r="AS109" s="664"/>
      <c r="AT109" s="671"/>
      <c r="AU109" s="527"/>
      <c r="AV109" s="527"/>
      <c r="AX109" s="527"/>
      <c r="AY109" s="527"/>
    </row>
    <row r="110" spans="1:51" s="500" customFormat="1" ht="12" customHeight="1">
      <c r="A110" s="672">
        <v>30</v>
      </c>
      <c r="B110" s="675"/>
      <c r="C110" s="693"/>
      <c r="D110" s="681" t="s">
        <v>628</v>
      </c>
      <c r="E110" s="517"/>
      <c r="F110" s="684"/>
      <c r="G110" s="685"/>
      <c r="H110" s="518" t="s">
        <v>629</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90">
        <f t="shared" ref="AN110" si="138">IF(LEFT($AN$1,6)="共同生活援助",SUM(I111:AM111),SUM(I111:AM112))</f>
        <v>0</v>
      </c>
      <c r="AO110" s="662">
        <f>IF($AN$3="４週",AN110/4,AN110/(DAY(EOMONTH($I$21,0))/7))</f>
        <v>0</v>
      </c>
      <c r="AP110" s="665"/>
      <c r="AQ110" s="666"/>
      <c r="AR110" s="662" t="str">
        <f t="shared" ref="AR110" si="139">IF($AN$3="４週",AU111,AV111)</f>
        <v/>
      </c>
      <c r="AS110" s="662"/>
      <c r="AT110" s="671" t="str">
        <f t="shared" ref="AT110" si="140">IF(AX111&lt;=1.1,"",IF(AY111&lt;=1.1,"",IF(F110="","","勤務時間"&amp;CHAR(10)&amp;"OVER")))</f>
        <v/>
      </c>
      <c r="AU110" s="520" t="s">
        <v>630</v>
      </c>
      <c r="AV110" s="520" t="s">
        <v>631</v>
      </c>
      <c r="AX110" s="520" t="s">
        <v>632</v>
      </c>
      <c r="AY110" s="520" t="s">
        <v>633</v>
      </c>
    </row>
    <row r="111" spans="1:51" s="500" customFormat="1" ht="12" customHeight="1">
      <c r="A111" s="673"/>
      <c r="B111" s="676"/>
      <c r="C111" s="694"/>
      <c r="D111" s="682"/>
      <c r="E111" s="521"/>
      <c r="F111" s="686"/>
      <c r="G111" s="687"/>
      <c r="H111" s="522" t="s">
        <v>634</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91"/>
      <c r="AO111" s="663"/>
      <c r="AP111" s="667"/>
      <c r="AQ111" s="668"/>
      <c r="AR111" s="663"/>
      <c r="AS111" s="663"/>
      <c r="AT111" s="671"/>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4"/>
      <c r="B112" s="677"/>
      <c r="C112" s="695"/>
      <c r="D112" s="683"/>
      <c r="E112" s="521"/>
      <c r="F112" s="688"/>
      <c r="G112" s="689"/>
      <c r="H112" s="525" t="s">
        <v>635</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92"/>
      <c r="AO112" s="664"/>
      <c r="AP112" s="669"/>
      <c r="AQ112" s="670"/>
      <c r="AR112" s="664"/>
      <c r="AS112" s="664"/>
      <c r="AT112" s="671"/>
      <c r="AU112" s="527"/>
      <c r="AV112" s="527"/>
      <c r="AX112" s="527"/>
      <c r="AY112" s="527"/>
    </row>
    <row r="113" spans="1:51" s="500" customFormat="1" ht="12" customHeight="1">
      <c r="A113" s="672">
        <v>31</v>
      </c>
      <c r="B113" s="675"/>
      <c r="C113" s="693"/>
      <c r="D113" s="681" t="s">
        <v>628</v>
      </c>
      <c r="E113" s="517"/>
      <c r="F113" s="684"/>
      <c r="G113" s="685"/>
      <c r="H113" s="518" t="s">
        <v>629</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90">
        <f t="shared" ref="AN113" si="143">IF(LEFT($AN$1,6)="共同生活援助",SUM(I114:AM114),SUM(I114:AM115))</f>
        <v>0</v>
      </c>
      <c r="AO113" s="662">
        <f>IF($AN$3="４週",AN113/4,AN113/(DAY(EOMONTH($I$21,0))/7))</f>
        <v>0</v>
      </c>
      <c r="AP113" s="665"/>
      <c r="AQ113" s="666"/>
      <c r="AR113" s="662" t="str">
        <f t="shared" ref="AR113" si="144">IF($AN$3="４週",AU114,AV114)</f>
        <v/>
      </c>
      <c r="AS113" s="662"/>
      <c r="AT113" s="671" t="str">
        <f t="shared" ref="AT113" si="145">IF(AX114&lt;=1.1,"",IF(AY114&lt;=1.1,"",IF(F113="","","勤務時間"&amp;CHAR(10)&amp;"OVER")))</f>
        <v/>
      </c>
      <c r="AU113" s="520" t="s">
        <v>630</v>
      </c>
      <c r="AV113" s="520" t="s">
        <v>631</v>
      </c>
      <c r="AX113" s="520" t="s">
        <v>632</v>
      </c>
      <c r="AY113" s="520" t="s">
        <v>633</v>
      </c>
    </row>
    <row r="114" spans="1:51" s="500" customFormat="1" ht="12" customHeight="1">
      <c r="A114" s="673"/>
      <c r="B114" s="676"/>
      <c r="C114" s="694"/>
      <c r="D114" s="682"/>
      <c r="E114" s="521"/>
      <c r="F114" s="686"/>
      <c r="G114" s="687"/>
      <c r="H114" s="522" t="s">
        <v>634</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91"/>
      <c r="AO114" s="663"/>
      <c r="AP114" s="667"/>
      <c r="AQ114" s="668"/>
      <c r="AR114" s="663"/>
      <c r="AS114" s="663"/>
      <c r="AT114" s="671"/>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4"/>
      <c r="B115" s="677"/>
      <c r="C115" s="695"/>
      <c r="D115" s="683"/>
      <c r="E115" s="521"/>
      <c r="F115" s="688"/>
      <c r="G115" s="689"/>
      <c r="H115" s="525" t="s">
        <v>635</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92"/>
      <c r="AO115" s="664"/>
      <c r="AP115" s="669"/>
      <c r="AQ115" s="670"/>
      <c r="AR115" s="664"/>
      <c r="AS115" s="664"/>
      <c r="AT115" s="671"/>
      <c r="AU115" s="527"/>
      <c r="AV115" s="527"/>
      <c r="AX115" s="527"/>
      <c r="AY115" s="527"/>
    </row>
    <row r="116" spans="1:51" s="500" customFormat="1" ht="12" customHeight="1">
      <c r="A116" s="672">
        <v>32</v>
      </c>
      <c r="B116" s="675"/>
      <c r="C116" s="693"/>
      <c r="D116" s="681" t="s">
        <v>628</v>
      </c>
      <c r="E116" s="517"/>
      <c r="F116" s="684"/>
      <c r="G116" s="685"/>
      <c r="H116" s="518" t="s">
        <v>629</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90">
        <f t="shared" ref="AN116" si="148">IF(LEFT($AN$1,6)="共同生活援助",SUM(I117:AM117),SUM(I117:AM118))</f>
        <v>0</v>
      </c>
      <c r="AO116" s="662">
        <f>IF($AN$3="４週",AN116/4,AN116/(DAY(EOMONTH($I$21,0))/7))</f>
        <v>0</v>
      </c>
      <c r="AP116" s="665"/>
      <c r="AQ116" s="666"/>
      <c r="AR116" s="662" t="str">
        <f t="shared" ref="AR116" si="149">IF($AN$3="４週",AU117,AV117)</f>
        <v/>
      </c>
      <c r="AS116" s="662"/>
      <c r="AT116" s="671" t="str">
        <f t="shared" ref="AT116" si="150">IF(AX117&lt;=1.1,"",IF(AY117&lt;=1.1,"",IF(F116="","","勤務時間"&amp;CHAR(10)&amp;"OVER")))</f>
        <v/>
      </c>
      <c r="AU116" s="520" t="s">
        <v>630</v>
      </c>
      <c r="AV116" s="520" t="s">
        <v>631</v>
      </c>
      <c r="AX116" s="520" t="s">
        <v>632</v>
      </c>
      <c r="AY116" s="520" t="s">
        <v>633</v>
      </c>
    </row>
    <row r="117" spans="1:51" s="500" customFormat="1" ht="12" customHeight="1">
      <c r="A117" s="673"/>
      <c r="B117" s="676"/>
      <c r="C117" s="694"/>
      <c r="D117" s="682"/>
      <c r="E117" s="521"/>
      <c r="F117" s="686"/>
      <c r="G117" s="687"/>
      <c r="H117" s="522" t="s">
        <v>634</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91"/>
      <c r="AO117" s="663"/>
      <c r="AP117" s="667"/>
      <c r="AQ117" s="668"/>
      <c r="AR117" s="663"/>
      <c r="AS117" s="663"/>
      <c r="AT117" s="671"/>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4"/>
      <c r="B118" s="677"/>
      <c r="C118" s="695"/>
      <c r="D118" s="683"/>
      <c r="E118" s="521"/>
      <c r="F118" s="688"/>
      <c r="G118" s="689"/>
      <c r="H118" s="525" t="s">
        <v>635</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92"/>
      <c r="AO118" s="664"/>
      <c r="AP118" s="669"/>
      <c r="AQ118" s="670"/>
      <c r="AR118" s="664"/>
      <c r="AS118" s="664"/>
      <c r="AT118" s="671"/>
      <c r="AU118" s="527"/>
      <c r="AV118" s="527"/>
      <c r="AX118" s="527"/>
      <c r="AY118" s="527"/>
    </row>
    <row r="119" spans="1:51" s="500" customFormat="1" ht="12" customHeight="1">
      <c r="A119" s="672">
        <v>33</v>
      </c>
      <c r="B119" s="675"/>
      <c r="C119" s="693"/>
      <c r="D119" s="681" t="s">
        <v>628</v>
      </c>
      <c r="E119" s="517"/>
      <c r="F119" s="684"/>
      <c r="G119" s="685"/>
      <c r="H119" s="518" t="s">
        <v>629</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90">
        <f t="shared" ref="AN119" si="153">IF(LEFT($AN$1,6)="共同生活援助",SUM(I120:AM120),SUM(I120:AM121))</f>
        <v>0</v>
      </c>
      <c r="AO119" s="662">
        <f>IF($AN$3="４週",AN119/4,AN119/(DAY(EOMONTH($I$21,0))/7))</f>
        <v>0</v>
      </c>
      <c r="AP119" s="665"/>
      <c r="AQ119" s="666"/>
      <c r="AR119" s="662" t="str">
        <f t="shared" ref="AR119" si="154">IF($AN$3="４週",AU120,AV120)</f>
        <v/>
      </c>
      <c r="AS119" s="662"/>
      <c r="AT119" s="671" t="str">
        <f t="shared" ref="AT119" si="155">IF(AX120&lt;=1.1,"",IF(AY120&lt;=1.1,"",IF(F119="","","勤務時間"&amp;CHAR(10)&amp;"OVER")))</f>
        <v/>
      </c>
      <c r="AU119" s="520" t="s">
        <v>630</v>
      </c>
      <c r="AV119" s="520" t="s">
        <v>631</v>
      </c>
      <c r="AX119" s="520" t="s">
        <v>632</v>
      </c>
      <c r="AY119" s="520" t="s">
        <v>633</v>
      </c>
    </row>
    <row r="120" spans="1:51" s="500" customFormat="1" ht="12" customHeight="1">
      <c r="A120" s="673"/>
      <c r="B120" s="676"/>
      <c r="C120" s="694"/>
      <c r="D120" s="682"/>
      <c r="E120" s="521"/>
      <c r="F120" s="686"/>
      <c r="G120" s="687"/>
      <c r="H120" s="522" t="s">
        <v>634</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91"/>
      <c r="AO120" s="663"/>
      <c r="AP120" s="667"/>
      <c r="AQ120" s="668"/>
      <c r="AR120" s="663"/>
      <c r="AS120" s="663"/>
      <c r="AT120" s="671"/>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4"/>
      <c r="B121" s="677"/>
      <c r="C121" s="695"/>
      <c r="D121" s="683"/>
      <c r="E121" s="521"/>
      <c r="F121" s="688"/>
      <c r="G121" s="689"/>
      <c r="H121" s="525" t="s">
        <v>635</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92"/>
      <c r="AO121" s="664"/>
      <c r="AP121" s="669"/>
      <c r="AQ121" s="670"/>
      <c r="AR121" s="664"/>
      <c r="AS121" s="664"/>
      <c r="AT121" s="671"/>
      <c r="AU121" s="527"/>
      <c r="AV121" s="527"/>
      <c r="AX121" s="527"/>
      <c r="AY121" s="527"/>
    </row>
    <row r="122" spans="1:51" s="500" customFormat="1" ht="12" customHeight="1">
      <c r="A122" s="672">
        <v>34</v>
      </c>
      <c r="B122" s="675"/>
      <c r="C122" s="693"/>
      <c r="D122" s="681" t="s">
        <v>628</v>
      </c>
      <c r="E122" s="517"/>
      <c r="F122" s="684"/>
      <c r="G122" s="685"/>
      <c r="H122" s="518" t="s">
        <v>629</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90">
        <f t="shared" ref="AN122" si="158">IF(LEFT($AN$1,6)="共同生活援助",SUM(I123:AM123),SUM(I123:AM124))</f>
        <v>0</v>
      </c>
      <c r="AO122" s="662">
        <f>IF($AN$3="４週",AN122/4,AN122/(DAY(EOMONTH($I$21,0))/7))</f>
        <v>0</v>
      </c>
      <c r="AP122" s="665"/>
      <c r="AQ122" s="666"/>
      <c r="AR122" s="662" t="str">
        <f t="shared" ref="AR122" si="159">IF($AN$3="４週",AU123,AV123)</f>
        <v/>
      </c>
      <c r="AS122" s="662"/>
      <c r="AT122" s="671" t="str">
        <f t="shared" ref="AT122" si="160">IF(AX123&lt;=1.1,"",IF(AY123&lt;=1.1,"",IF(F122="","","勤務時間"&amp;CHAR(10)&amp;"OVER")))</f>
        <v/>
      </c>
      <c r="AU122" s="520" t="s">
        <v>630</v>
      </c>
      <c r="AV122" s="520" t="s">
        <v>631</v>
      </c>
      <c r="AX122" s="520" t="s">
        <v>632</v>
      </c>
      <c r="AY122" s="520" t="s">
        <v>633</v>
      </c>
    </row>
    <row r="123" spans="1:51" s="500" customFormat="1" ht="12" customHeight="1">
      <c r="A123" s="673"/>
      <c r="B123" s="676"/>
      <c r="C123" s="694"/>
      <c r="D123" s="682"/>
      <c r="E123" s="521"/>
      <c r="F123" s="686"/>
      <c r="G123" s="687"/>
      <c r="H123" s="522" t="s">
        <v>634</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91"/>
      <c r="AO123" s="663"/>
      <c r="AP123" s="667"/>
      <c r="AQ123" s="668"/>
      <c r="AR123" s="663"/>
      <c r="AS123" s="663"/>
      <c r="AT123" s="671"/>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4"/>
      <c r="B124" s="677"/>
      <c r="C124" s="695"/>
      <c r="D124" s="683"/>
      <c r="E124" s="521"/>
      <c r="F124" s="688"/>
      <c r="G124" s="689"/>
      <c r="H124" s="525" t="s">
        <v>635</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92"/>
      <c r="AO124" s="664"/>
      <c r="AP124" s="669"/>
      <c r="AQ124" s="670"/>
      <c r="AR124" s="664"/>
      <c r="AS124" s="664"/>
      <c r="AT124" s="671"/>
      <c r="AU124" s="527"/>
      <c r="AV124" s="527"/>
      <c r="AX124" s="527"/>
      <c r="AY124" s="527"/>
    </row>
    <row r="125" spans="1:51" s="500" customFormat="1" ht="12" customHeight="1">
      <c r="A125" s="672">
        <v>35</v>
      </c>
      <c r="B125" s="675"/>
      <c r="C125" s="693"/>
      <c r="D125" s="681" t="s">
        <v>628</v>
      </c>
      <c r="E125" s="517"/>
      <c r="F125" s="684"/>
      <c r="G125" s="685"/>
      <c r="H125" s="518" t="s">
        <v>629</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90">
        <f t="shared" ref="AN125" si="163">IF(LEFT($AN$1,6)="共同生活援助",SUM(I126:AM126),SUM(I126:AM127))</f>
        <v>0</v>
      </c>
      <c r="AO125" s="662">
        <f>IF($AN$3="４週",AN125/4,AN125/(DAY(EOMONTH($I$21,0))/7))</f>
        <v>0</v>
      </c>
      <c r="AP125" s="665"/>
      <c r="AQ125" s="666"/>
      <c r="AR125" s="662" t="str">
        <f t="shared" ref="AR125" si="164">IF($AN$3="４週",AU126,AV126)</f>
        <v/>
      </c>
      <c r="AS125" s="662"/>
      <c r="AT125" s="671" t="str">
        <f t="shared" ref="AT125" si="165">IF(AX126&lt;=1.1,"",IF(AY126&lt;=1.1,"",IF(F125="","","勤務時間"&amp;CHAR(10)&amp;"OVER")))</f>
        <v/>
      </c>
      <c r="AU125" s="520" t="s">
        <v>630</v>
      </c>
      <c r="AV125" s="520" t="s">
        <v>631</v>
      </c>
      <c r="AX125" s="520" t="s">
        <v>632</v>
      </c>
      <c r="AY125" s="520" t="s">
        <v>633</v>
      </c>
    </row>
    <row r="126" spans="1:51" s="500" customFormat="1" ht="12" customHeight="1">
      <c r="A126" s="673"/>
      <c r="B126" s="676"/>
      <c r="C126" s="694"/>
      <c r="D126" s="682"/>
      <c r="E126" s="521"/>
      <c r="F126" s="686"/>
      <c r="G126" s="687"/>
      <c r="H126" s="522" t="s">
        <v>634</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91"/>
      <c r="AO126" s="663"/>
      <c r="AP126" s="667"/>
      <c r="AQ126" s="668"/>
      <c r="AR126" s="663"/>
      <c r="AS126" s="663"/>
      <c r="AT126" s="671"/>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4"/>
      <c r="B127" s="677"/>
      <c r="C127" s="695"/>
      <c r="D127" s="683"/>
      <c r="E127" s="521"/>
      <c r="F127" s="688"/>
      <c r="G127" s="689"/>
      <c r="H127" s="525" t="s">
        <v>635</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92"/>
      <c r="AO127" s="664"/>
      <c r="AP127" s="669"/>
      <c r="AQ127" s="670"/>
      <c r="AR127" s="664"/>
      <c r="AS127" s="664"/>
      <c r="AT127" s="671"/>
      <c r="AU127" s="527"/>
      <c r="AV127" s="527"/>
      <c r="AX127" s="527"/>
      <c r="AY127" s="527"/>
    </row>
    <row r="128" spans="1:51" s="500" customFormat="1" ht="12" customHeight="1">
      <c r="A128" s="672">
        <v>36</v>
      </c>
      <c r="B128" s="675"/>
      <c r="C128" s="693"/>
      <c r="D128" s="681" t="s">
        <v>628</v>
      </c>
      <c r="E128" s="517"/>
      <c r="F128" s="684"/>
      <c r="G128" s="685"/>
      <c r="H128" s="518" t="s">
        <v>629</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90">
        <f t="shared" ref="AN128" si="168">IF(LEFT($AN$1,6)="共同生活援助",SUM(I129:AM129),SUM(I129:AM130))</f>
        <v>0</v>
      </c>
      <c r="AO128" s="662">
        <f>IF($AN$3="４週",AN128/4,AN128/(DAY(EOMONTH($I$21,0))/7))</f>
        <v>0</v>
      </c>
      <c r="AP128" s="665"/>
      <c r="AQ128" s="666"/>
      <c r="AR128" s="662" t="str">
        <f t="shared" ref="AR128" si="169">IF($AN$3="４週",AU129,AV129)</f>
        <v/>
      </c>
      <c r="AS128" s="662"/>
      <c r="AT128" s="671" t="str">
        <f t="shared" ref="AT128" si="170">IF(AX129&lt;=1.1,"",IF(AY129&lt;=1.1,"",IF(F128="","","勤務時間"&amp;CHAR(10)&amp;"OVER")))</f>
        <v/>
      </c>
      <c r="AU128" s="520" t="s">
        <v>630</v>
      </c>
      <c r="AV128" s="520" t="s">
        <v>631</v>
      </c>
      <c r="AX128" s="520" t="s">
        <v>632</v>
      </c>
      <c r="AY128" s="520" t="s">
        <v>633</v>
      </c>
    </row>
    <row r="129" spans="1:51" s="500" customFormat="1" ht="12" customHeight="1">
      <c r="A129" s="673"/>
      <c r="B129" s="676"/>
      <c r="C129" s="694"/>
      <c r="D129" s="682"/>
      <c r="E129" s="521"/>
      <c r="F129" s="686"/>
      <c r="G129" s="687"/>
      <c r="H129" s="522" t="s">
        <v>634</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91"/>
      <c r="AO129" s="663"/>
      <c r="AP129" s="667"/>
      <c r="AQ129" s="668"/>
      <c r="AR129" s="663"/>
      <c r="AS129" s="663"/>
      <c r="AT129" s="671"/>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4"/>
      <c r="B130" s="677"/>
      <c r="C130" s="695"/>
      <c r="D130" s="683"/>
      <c r="E130" s="521"/>
      <c r="F130" s="688"/>
      <c r="G130" s="689"/>
      <c r="H130" s="525" t="s">
        <v>635</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92"/>
      <c r="AO130" s="664"/>
      <c r="AP130" s="669"/>
      <c r="AQ130" s="670"/>
      <c r="AR130" s="664"/>
      <c r="AS130" s="664"/>
      <c r="AT130" s="671"/>
      <c r="AU130" s="527"/>
      <c r="AV130" s="527"/>
      <c r="AX130" s="527"/>
      <c r="AY130" s="527"/>
    </row>
    <row r="131" spans="1:51" s="500" customFormat="1" ht="12" customHeight="1">
      <c r="A131" s="672">
        <v>37</v>
      </c>
      <c r="B131" s="675"/>
      <c r="C131" s="678"/>
      <c r="D131" s="681" t="s">
        <v>628</v>
      </c>
      <c r="E131" s="517"/>
      <c r="F131" s="684"/>
      <c r="G131" s="685"/>
      <c r="H131" s="518" t="s">
        <v>629</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90">
        <f t="shared" ref="AN131" si="173">IF(LEFT($AN$1,6)="共同生活援助",SUM(I132:AM132),SUM(I132:AM133))</f>
        <v>0</v>
      </c>
      <c r="AO131" s="662">
        <f>IF($AN$3="４週",AN131/4,AN131/(DAY(EOMONTH($I$21,0))/7))</f>
        <v>0</v>
      </c>
      <c r="AP131" s="665"/>
      <c r="AQ131" s="666"/>
      <c r="AR131" s="662" t="str">
        <f t="shared" ref="AR131" si="174">IF($AN$3="４週",AU132,AV132)</f>
        <v/>
      </c>
      <c r="AS131" s="662"/>
      <c r="AT131" s="671" t="str">
        <f t="shared" ref="AT131" si="175">IF(AX132&lt;=1.1,"",IF(AY132&lt;=1.1,"",IF(F131="","","勤務時間"&amp;CHAR(10)&amp;"OVER")))</f>
        <v/>
      </c>
      <c r="AU131" s="520" t="s">
        <v>630</v>
      </c>
      <c r="AV131" s="520" t="s">
        <v>631</v>
      </c>
      <c r="AX131" s="520" t="s">
        <v>632</v>
      </c>
      <c r="AY131" s="520" t="s">
        <v>633</v>
      </c>
    </row>
    <row r="132" spans="1:51" s="500" customFormat="1" ht="12" customHeight="1">
      <c r="A132" s="673"/>
      <c r="B132" s="676"/>
      <c r="C132" s="679"/>
      <c r="D132" s="682"/>
      <c r="E132" s="521"/>
      <c r="F132" s="686"/>
      <c r="G132" s="687"/>
      <c r="H132" s="522" t="s">
        <v>634</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91"/>
      <c r="AO132" s="663"/>
      <c r="AP132" s="667"/>
      <c r="AQ132" s="668"/>
      <c r="AR132" s="663"/>
      <c r="AS132" s="663"/>
      <c r="AT132" s="671"/>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4"/>
      <c r="B133" s="677"/>
      <c r="C133" s="680"/>
      <c r="D133" s="683"/>
      <c r="E133" s="521"/>
      <c r="F133" s="688"/>
      <c r="G133" s="689"/>
      <c r="H133" s="525" t="s">
        <v>635</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92"/>
      <c r="AO133" s="664"/>
      <c r="AP133" s="669"/>
      <c r="AQ133" s="670"/>
      <c r="AR133" s="664"/>
      <c r="AS133" s="664"/>
      <c r="AT133" s="671"/>
      <c r="AU133" s="527"/>
      <c r="AV133" s="527"/>
      <c r="AX133" s="527"/>
      <c r="AY133" s="527"/>
    </row>
    <row r="134" spans="1:51" s="500" customFormat="1" ht="12" customHeight="1">
      <c r="A134" s="672">
        <v>38</v>
      </c>
      <c r="B134" s="675"/>
      <c r="C134" s="693"/>
      <c r="D134" s="681" t="s">
        <v>628</v>
      </c>
      <c r="E134" s="517"/>
      <c r="F134" s="684"/>
      <c r="G134" s="685"/>
      <c r="H134" s="518" t="s">
        <v>629</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90">
        <f t="shared" ref="AN134" si="178">IF(LEFT($AN$1,6)="共同生活援助",SUM(I135:AM135),SUM(I135:AM136))</f>
        <v>0</v>
      </c>
      <c r="AO134" s="662">
        <f>IF($AN$3="４週",AN134/4,AN134/(DAY(EOMONTH($I$21,0))/7))</f>
        <v>0</v>
      </c>
      <c r="AP134" s="665"/>
      <c r="AQ134" s="666"/>
      <c r="AR134" s="662" t="str">
        <f t="shared" ref="AR134" si="179">IF($AN$3="４週",AU135,AV135)</f>
        <v/>
      </c>
      <c r="AS134" s="662"/>
      <c r="AT134" s="671" t="str">
        <f t="shared" ref="AT134" si="180">IF(AX135&lt;=1.1,"",IF(AY135&lt;=1.1,"",IF(F134="","","勤務時間"&amp;CHAR(10)&amp;"OVER")))</f>
        <v/>
      </c>
      <c r="AU134" s="520" t="s">
        <v>630</v>
      </c>
      <c r="AV134" s="520" t="s">
        <v>631</v>
      </c>
      <c r="AX134" s="520" t="s">
        <v>632</v>
      </c>
      <c r="AY134" s="520" t="s">
        <v>633</v>
      </c>
    </row>
    <row r="135" spans="1:51" s="500" customFormat="1" ht="12" customHeight="1">
      <c r="A135" s="673"/>
      <c r="B135" s="676"/>
      <c r="C135" s="694"/>
      <c r="D135" s="682"/>
      <c r="E135" s="521"/>
      <c r="F135" s="686"/>
      <c r="G135" s="687"/>
      <c r="H135" s="522" t="s">
        <v>634</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91"/>
      <c r="AO135" s="663"/>
      <c r="AP135" s="667"/>
      <c r="AQ135" s="668"/>
      <c r="AR135" s="663"/>
      <c r="AS135" s="663"/>
      <c r="AT135" s="671"/>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4"/>
      <c r="B136" s="677"/>
      <c r="C136" s="695"/>
      <c r="D136" s="683"/>
      <c r="E136" s="521"/>
      <c r="F136" s="688"/>
      <c r="G136" s="689"/>
      <c r="H136" s="525" t="s">
        <v>635</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92"/>
      <c r="AO136" s="664"/>
      <c r="AP136" s="669"/>
      <c r="AQ136" s="670"/>
      <c r="AR136" s="664"/>
      <c r="AS136" s="664"/>
      <c r="AT136" s="671"/>
      <c r="AU136" s="527"/>
      <c r="AV136" s="527"/>
      <c r="AX136" s="527"/>
      <c r="AY136" s="527"/>
    </row>
    <row r="137" spans="1:51" s="500" customFormat="1" ht="12" customHeight="1">
      <c r="A137" s="672">
        <v>39</v>
      </c>
      <c r="B137" s="675"/>
      <c r="C137" s="693"/>
      <c r="D137" s="681" t="s">
        <v>628</v>
      </c>
      <c r="E137" s="517"/>
      <c r="F137" s="684"/>
      <c r="G137" s="685"/>
      <c r="H137" s="518" t="s">
        <v>629</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90">
        <f t="shared" ref="AN137" si="183">IF(LEFT($AN$1,6)="共同生活援助",SUM(I138:AM138),SUM(I138:AM139))</f>
        <v>0</v>
      </c>
      <c r="AO137" s="662">
        <f>IF($AN$3="４週",AN137/4,AN137/(DAY(EOMONTH($I$21,0))/7))</f>
        <v>0</v>
      </c>
      <c r="AP137" s="665"/>
      <c r="AQ137" s="666"/>
      <c r="AR137" s="662" t="str">
        <f t="shared" ref="AR137" si="184">IF($AN$3="４週",AU138,AV138)</f>
        <v/>
      </c>
      <c r="AS137" s="662"/>
      <c r="AT137" s="671" t="str">
        <f t="shared" ref="AT137" si="185">IF(AX138&lt;=1.1,"",IF(AY138&lt;=1.1,"",IF(F137="","","勤務時間"&amp;CHAR(10)&amp;"OVER")))</f>
        <v/>
      </c>
      <c r="AU137" s="520" t="s">
        <v>630</v>
      </c>
      <c r="AV137" s="520" t="s">
        <v>631</v>
      </c>
      <c r="AX137" s="520" t="s">
        <v>632</v>
      </c>
      <c r="AY137" s="520" t="s">
        <v>633</v>
      </c>
    </row>
    <row r="138" spans="1:51" s="500" customFormat="1" ht="12" customHeight="1">
      <c r="A138" s="673"/>
      <c r="B138" s="676"/>
      <c r="C138" s="694"/>
      <c r="D138" s="682"/>
      <c r="E138" s="521"/>
      <c r="F138" s="686"/>
      <c r="G138" s="687"/>
      <c r="H138" s="522" t="s">
        <v>634</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91"/>
      <c r="AO138" s="663"/>
      <c r="AP138" s="667"/>
      <c r="AQ138" s="668"/>
      <c r="AR138" s="663"/>
      <c r="AS138" s="663"/>
      <c r="AT138" s="671"/>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4"/>
      <c r="B139" s="677"/>
      <c r="C139" s="695"/>
      <c r="D139" s="683"/>
      <c r="E139" s="521"/>
      <c r="F139" s="688"/>
      <c r="G139" s="689"/>
      <c r="H139" s="525" t="s">
        <v>635</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92"/>
      <c r="AO139" s="664"/>
      <c r="AP139" s="669"/>
      <c r="AQ139" s="670"/>
      <c r="AR139" s="664"/>
      <c r="AS139" s="664"/>
      <c r="AT139" s="671"/>
      <c r="AU139" s="527"/>
      <c r="AV139" s="527"/>
      <c r="AX139" s="527"/>
      <c r="AY139" s="527"/>
    </row>
    <row r="140" spans="1:51" s="500" customFormat="1" ht="12" customHeight="1">
      <c r="A140" s="672">
        <v>40</v>
      </c>
      <c r="B140" s="675"/>
      <c r="C140" s="693"/>
      <c r="D140" s="681" t="s">
        <v>628</v>
      </c>
      <c r="E140" s="517"/>
      <c r="F140" s="684"/>
      <c r="G140" s="685"/>
      <c r="H140" s="518" t="s">
        <v>629</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90">
        <f t="shared" ref="AN140" si="188">IF(LEFT($AN$1,6)="共同生活援助",SUM(I141:AM141),SUM(I141:AM142))</f>
        <v>0</v>
      </c>
      <c r="AO140" s="662">
        <f>IF($AN$3="４週",AN140/4,AN140/(DAY(EOMONTH($I$21,0))/7))</f>
        <v>0</v>
      </c>
      <c r="AP140" s="665"/>
      <c r="AQ140" s="666"/>
      <c r="AR140" s="662" t="str">
        <f t="shared" ref="AR140" si="189">IF($AN$3="４週",AU141,AV141)</f>
        <v/>
      </c>
      <c r="AS140" s="662"/>
      <c r="AT140" s="671" t="str">
        <f t="shared" ref="AT140" si="190">IF(AX141&lt;=1.1,"",IF(AY141&lt;=1.1,"",IF(F140="","","勤務時間"&amp;CHAR(10)&amp;"OVER")))</f>
        <v/>
      </c>
      <c r="AU140" s="520" t="s">
        <v>630</v>
      </c>
      <c r="AV140" s="520" t="s">
        <v>631</v>
      </c>
      <c r="AX140" s="520" t="s">
        <v>632</v>
      </c>
      <c r="AY140" s="520" t="s">
        <v>633</v>
      </c>
    </row>
    <row r="141" spans="1:51" s="500" customFormat="1" ht="12" customHeight="1">
      <c r="A141" s="673"/>
      <c r="B141" s="676"/>
      <c r="C141" s="694"/>
      <c r="D141" s="682"/>
      <c r="E141" s="521"/>
      <c r="F141" s="686"/>
      <c r="G141" s="687"/>
      <c r="H141" s="522" t="s">
        <v>634</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91"/>
      <c r="AO141" s="663"/>
      <c r="AP141" s="667"/>
      <c r="AQ141" s="668"/>
      <c r="AR141" s="663"/>
      <c r="AS141" s="663"/>
      <c r="AT141" s="671"/>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4"/>
      <c r="B142" s="677"/>
      <c r="C142" s="695"/>
      <c r="D142" s="683"/>
      <c r="E142" s="521"/>
      <c r="F142" s="688"/>
      <c r="G142" s="689"/>
      <c r="H142" s="525" t="s">
        <v>635</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92"/>
      <c r="AO142" s="664"/>
      <c r="AP142" s="669"/>
      <c r="AQ142" s="670"/>
      <c r="AR142" s="664"/>
      <c r="AS142" s="664"/>
      <c r="AT142" s="671"/>
      <c r="AU142" s="527"/>
      <c r="AV142" s="527"/>
      <c r="AX142" s="527"/>
      <c r="AY142" s="527"/>
    </row>
    <row r="143" spans="1:51" s="500" customFormat="1" ht="12" customHeight="1">
      <c r="A143" s="672">
        <v>41</v>
      </c>
      <c r="B143" s="675"/>
      <c r="C143" s="693"/>
      <c r="D143" s="681" t="s">
        <v>628</v>
      </c>
      <c r="E143" s="517"/>
      <c r="F143" s="684"/>
      <c r="G143" s="685"/>
      <c r="H143" s="518" t="s">
        <v>629</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90">
        <f t="shared" ref="AN143" si="193">IF(LEFT($AN$1,6)="共同生活援助",SUM(I144:AM144),SUM(I144:AM145))</f>
        <v>0</v>
      </c>
      <c r="AO143" s="662">
        <f>IF($AN$3="４週",AN143/4,AN143/(DAY(EOMONTH($I$21,0))/7))</f>
        <v>0</v>
      </c>
      <c r="AP143" s="665"/>
      <c r="AQ143" s="666"/>
      <c r="AR143" s="662" t="str">
        <f t="shared" ref="AR143" si="194">IF($AN$3="４週",AU144,AV144)</f>
        <v/>
      </c>
      <c r="AS143" s="662"/>
      <c r="AT143" s="671" t="str">
        <f t="shared" ref="AT143" si="195">IF(AX144&lt;=1.1,"",IF(AY144&lt;=1.1,"",IF(F143="","","勤務時間"&amp;CHAR(10)&amp;"OVER")))</f>
        <v/>
      </c>
      <c r="AU143" s="520" t="s">
        <v>630</v>
      </c>
      <c r="AV143" s="520" t="s">
        <v>631</v>
      </c>
      <c r="AX143" s="520" t="s">
        <v>632</v>
      </c>
      <c r="AY143" s="520" t="s">
        <v>633</v>
      </c>
    </row>
    <row r="144" spans="1:51" s="500" customFormat="1" ht="12" customHeight="1">
      <c r="A144" s="673"/>
      <c r="B144" s="676"/>
      <c r="C144" s="694"/>
      <c r="D144" s="682"/>
      <c r="E144" s="521"/>
      <c r="F144" s="686"/>
      <c r="G144" s="687"/>
      <c r="H144" s="522" t="s">
        <v>634</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91"/>
      <c r="AO144" s="663"/>
      <c r="AP144" s="667"/>
      <c r="AQ144" s="668"/>
      <c r="AR144" s="663"/>
      <c r="AS144" s="663"/>
      <c r="AT144" s="671"/>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4"/>
      <c r="B145" s="677"/>
      <c r="C145" s="695"/>
      <c r="D145" s="683"/>
      <c r="E145" s="521"/>
      <c r="F145" s="688"/>
      <c r="G145" s="689"/>
      <c r="H145" s="525" t="s">
        <v>635</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92"/>
      <c r="AO145" s="664"/>
      <c r="AP145" s="669"/>
      <c r="AQ145" s="670"/>
      <c r="AR145" s="664"/>
      <c r="AS145" s="664"/>
      <c r="AT145" s="671"/>
      <c r="AU145" s="527"/>
      <c r="AV145" s="527"/>
      <c r="AX145" s="527"/>
      <c r="AY145" s="527"/>
    </row>
    <row r="146" spans="1:51" s="500" customFormat="1" ht="12" customHeight="1">
      <c r="A146" s="672">
        <v>42</v>
      </c>
      <c r="B146" s="675"/>
      <c r="C146" s="693"/>
      <c r="D146" s="681" t="s">
        <v>628</v>
      </c>
      <c r="E146" s="517"/>
      <c r="F146" s="684"/>
      <c r="G146" s="685"/>
      <c r="H146" s="518" t="s">
        <v>629</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90">
        <f t="shared" ref="AN146" si="198">IF(LEFT($AN$1,6)="共同生活援助",SUM(I147:AM147),SUM(I147:AM148))</f>
        <v>0</v>
      </c>
      <c r="AO146" s="662">
        <f>IF($AN$3="４週",AN146/4,AN146/(DAY(EOMONTH($I$21,0))/7))</f>
        <v>0</v>
      </c>
      <c r="AP146" s="665"/>
      <c r="AQ146" s="666"/>
      <c r="AR146" s="662" t="str">
        <f t="shared" ref="AR146" si="199">IF($AN$3="４週",AU147,AV147)</f>
        <v/>
      </c>
      <c r="AS146" s="662"/>
      <c r="AT146" s="671" t="str">
        <f t="shared" ref="AT146" si="200">IF(AX147&lt;=1.1,"",IF(AY147&lt;=1.1,"",IF(F146="","","勤務時間"&amp;CHAR(10)&amp;"OVER")))</f>
        <v/>
      </c>
      <c r="AU146" s="520" t="s">
        <v>630</v>
      </c>
      <c r="AV146" s="520" t="s">
        <v>631</v>
      </c>
      <c r="AX146" s="520" t="s">
        <v>632</v>
      </c>
      <c r="AY146" s="520" t="s">
        <v>633</v>
      </c>
    </row>
    <row r="147" spans="1:51" s="500" customFormat="1" ht="12" customHeight="1">
      <c r="A147" s="673"/>
      <c r="B147" s="676"/>
      <c r="C147" s="694"/>
      <c r="D147" s="682"/>
      <c r="E147" s="521"/>
      <c r="F147" s="686"/>
      <c r="G147" s="687"/>
      <c r="H147" s="522" t="s">
        <v>634</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91"/>
      <c r="AO147" s="663"/>
      <c r="AP147" s="667"/>
      <c r="AQ147" s="668"/>
      <c r="AR147" s="663"/>
      <c r="AS147" s="663"/>
      <c r="AT147" s="671"/>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4"/>
      <c r="B148" s="677"/>
      <c r="C148" s="695"/>
      <c r="D148" s="683"/>
      <c r="E148" s="521"/>
      <c r="F148" s="688"/>
      <c r="G148" s="689"/>
      <c r="H148" s="525" t="s">
        <v>635</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92"/>
      <c r="AO148" s="664"/>
      <c r="AP148" s="669"/>
      <c r="AQ148" s="670"/>
      <c r="AR148" s="664"/>
      <c r="AS148" s="664"/>
      <c r="AT148" s="671"/>
      <c r="AU148" s="527"/>
      <c r="AV148" s="527"/>
      <c r="AX148" s="527"/>
      <c r="AY148" s="527"/>
    </row>
    <row r="149" spans="1:51" s="500" customFormat="1" ht="12" customHeight="1">
      <c r="A149" s="672">
        <v>43</v>
      </c>
      <c r="B149" s="675"/>
      <c r="C149" s="693"/>
      <c r="D149" s="681" t="s">
        <v>628</v>
      </c>
      <c r="E149" s="517"/>
      <c r="F149" s="684"/>
      <c r="G149" s="685"/>
      <c r="H149" s="518" t="s">
        <v>629</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90">
        <f t="shared" ref="AN149" si="203">IF(LEFT($AN$1,6)="共同生活援助",SUM(I150:AM150),SUM(I150:AM151))</f>
        <v>0</v>
      </c>
      <c r="AO149" s="662">
        <f>IF($AN$3="４週",AN149/4,AN149/(DAY(EOMONTH($I$21,0))/7))</f>
        <v>0</v>
      </c>
      <c r="AP149" s="665"/>
      <c r="AQ149" s="666"/>
      <c r="AR149" s="662" t="str">
        <f t="shared" ref="AR149" si="204">IF($AN$3="４週",AU150,AV150)</f>
        <v/>
      </c>
      <c r="AS149" s="662"/>
      <c r="AT149" s="671" t="str">
        <f t="shared" ref="AT149" si="205">IF(AX150&lt;=1.1,"",IF(AY150&lt;=1.1,"",IF(F149="","","勤務時間"&amp;CHAR(10)&amp;"OVER")))</f>
        <v/>
      </c>
      <c r="AU149" s="520" t="s">
        <v>630</v>
      </c>
      <c r="AV149" s="520" t="s">
        <v>631</v>
      </c>
      <c r="AX149" s="520" t="s">
        <v>632</v>
      </c>
      <c r="AY149" s="520" t="s">
        <v>633</v>
      </c>
    </row>
    <row r="150" spans="1:51" s="500" customFormat="1" ht="12" customHeight="1">
      <c r="A150" s="673"/>
      <c r="B150" s="676"/>
      <c r="C150" s="694"/>
      <c r="D150" s="682"/>
      <c r="E150" s="521"/>
      <c r="F150" s="686"/>
      <c r="G150" s="687"/>
      <c r="H150" s="522" t="s">
        <v>634</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91"/>
      <c r="AO150" s="663"/>
      <c r="AP150" s="667"/>
      <c r="AQ150" s="668"/>
      <c r="AR150" s="663"/>
      <c r="AS150" s="663"/>
      <c r="AT150" s="671"/>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4"/>
      <c r="B151" s="677"/>
      <c r="C151" s="695"/>
      <c r="D151" s="683"/>
      <c r="E151" s="521"/>
      <c r="F151" s="688"/>
      <c r="G151" s="689"/>
      <c r="H151" s="525" t="s">
        <v>635</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92"/>
      <c r="AO151" s="664"/>
      <c r="AP151" s="669"/>
      <c r="AQ151" s="670"/>
      <c r="AR151" s="664"/>
      <c r="AS151" s="664"/>
      <c r="AT151" s="671"/>
      <c r="AU151" s="527"/>
      <c r="AV151" s="527"/>
      <c r="AX151" s="527"/>
      <c r="AY151" s="527"/>
    </row>
    <row r="152" spans="1:51" s="500" customFormat="1" ht="12" customHeight="1">
      <c r="A152" s="672">
        <v>44</v>
      </c>
      <c r="B152" s="675"/>
      <c r="C152" s="693"/>
      <c r="D152" s="681" t="s">
        <v>628</v>
      </c>
      <c r="E152" s="517"/>
      <c r="F152" s="684"/>
      <c r="G152" s="685"/>
      <c r="H152" s="518" t="s">
        <v>629</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90">
        <f t="shared" ref="AN152" si="208">IF(LEFT($AN$1,6)="共同生活援助",SUM(I153:AM153),SUM(I153:AM154))</f>
        <v>0</v>
      </c>
      <c r="AO152" s="662">
        <f>IF($AN$3="４週",AN152/4,AN152/(DAY(EOMONTH($I$21,0))/7))</f>
        <v>0</v>
      </c>
      <c r="AP152" s="665"/>
      <c r="AQ152" s="666"/>
      <c r="AR152" s="662" t="str">
        <f t="shared" ref="AR152" si="209">IF($AN$3="４週",AU153,AV153)</f>
        <v/>
      </c>
      <c r="AS152" s="662"/>
      <c r="AT152" s="671" t="str">
        <f t="shared" ref="AT152" si="210">IF(AX153&lt;=1.1,"",IF(AY153&lt;=1.1,"",IF(F152="","","勤務時間"&amp;CHAR(10)&amp;"OVER")))</f>
        <v/>
      </c>
      <c r="AU152" s="520" t="s">
        <v>630</v>
      </c>
      <c r="AV152" s="520" t="s">
        <v>631</v>
      </c>
      <c r="AX152" s="520" t="s">
        <v>632</v>
      </c>
      <c r="AY152" s="520" t="s">
        <v>633</v>
      </c>
    </row>
    <row r="153" spans="1:51" s="500" customFormat="1" ht="12" customHeight="1">
      <c r="A153" s="673"/>
      <c r="B153" s="676"/>
      <c r="C153" s="694"/>
      <c r="D153" s="682"/>
      <c r="E153" s="521"/>
      <c r="F153" s="686"/>
      <c r="G153" s="687"/>
      <c r="H153" s="522" t="s">
        <v>634</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91"/>
      <c r="AO153" s="663"/>
      <c r="AP153" s="667"/>
      <c r="AQ153" s="668"/>
      <c r="AR153" s="663"/>
      <c r="AS153" s="663"/>
      <c r="AT153" s="671"/>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4"/>
      <c r="B154" s="677"/>
      <c r="C154" s="695"/>
      <c r="D154" s="683"/>
      <c r="E154" s="521"/>
      <c r="F154" s="688"/>
      <c r="G154" s="689"/>
      <c r="H154" s="525" t="s">
        <v>635</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92"/>
      <c r="AO154" s="664"/>
      <c r="AP154" s="669"/>
      <c r="AQ154" s="670"/>
      <c r="AR154" s="664"/>
      <c r="AS154" s="664"/>
      <c r="AT154" s="671"/>
      <c r="AU154" s="527"/>
      <c r="AV154" s="527"/>
      <c r="AX154" s="527"/>
      <c r="AY154" s="527"/>
    </row>
    <row r="155" spans="1:51" s="500" customFormat="1" ht="12" customHeight="1">
      <c r="A155" s="672">
        <v>45</v>
      </c>
      <c r="B155" s="675"/>
      <c r="C155" s="693"/>
      <c r="D155" s="681" t="s">
        <v>628</v>
      </c>
      <c r="E155" s="517"/>
      <c r="F155" s="684"/>
      <c r="G155" s="685"/>
      <c r="H155" s="518" t="s">
        <v>629</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90">
        <f t="shared" ref="AN155" si="213">IF(LEFT($AN$1,6)="共同生活援助",SUM(I156:AM156),SUM(I156:AM157))</f>
        <v>0</v>
      </c>
      <c r="AO155" s="662">
        <f>IF($AN$3="４週",AN155/4,AN155/(DAY(EOMONTH($I$21,0))/7))</f>
        <v>0</v>
      </c>
      <c r="AP155" s="665"/>
      <c r="AQ155" s="666"/>
      <c r="AR155" s="662" t="str">
        <f t="shared" ref="AR155" si="214">IF($AN$3="４週",AU156,AV156)</f>
        <v/>
      </c>
      <c r="AS155" s="662"/>
      <c r="AT155" s="671" t="str">
        <f t="shared" ref="AT155" si="215">IF(AX156&lt;=1.1,"",IF(AY156&lt;=1.1,"",IF(F155="","","勤務時間"&amp;CHAR(10)&amp;"OVER")))</f>
        <v/>
      </c>
      <c r="AU155" s="520" t="s">
        <v>630</v>
      </c>
      <c r="AV155" s="520" t="s">
        <v>631</v>
      </c>
      <c r="AX155" s="520" t="s">
        <v>632</v>
      </c>
      <c r="AY155" s="520" t="s">
        <v>633</v>
      </c>
    </row>
    <row r="156" spans="1:51" s="500" customFormat="1" ht="12" customHeight="1">
      <c r="A156" s="673"/>
      <c r="B156" s="676"/>
      <c r="C156" s="694"/>
      <c r="D156" s="682"/>
      <c r="E156" s="521"/>
      <c r="F156" s="686"/>
      <c r="G156" s="687"/>
      <c r="H156" s="522" t="s">
        <v>634</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91"/>
      <c r="AO156" s="663"/>
      <c r="AP156" s="667"/>
      <c r="AQ156" s="668"/>
      <c r="AR156" s="663"/>
      <c r="AS156" s="663"/>
      <c r="AT156" s="671"/>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4"/>
      <c r="B157" s="677"/>
      <c r="C157" s="695"/>
      <c r="D157" s="683"/>
      <c r="E157" s="521"/>
      <c r="F157" s="688"/>
      <c r="G157" s="689"/>
      <c r="H157" s="525" t="s">
        <v>635</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92"/>
      <c r="AO157" s="664"/>
      <c r="AP157" s="669"/>
      <c r="AQ157" s="670"/>
      <c r="AR157" s="664"/>
      <c r="AS157" s="664"/>
      <c r="AT157" s="671"/>
      <c r="AU157" s="527"/>
      <c r="AV157" s="527"/>
      <c r="AX157" s="527"/>
      <c r="AY157" s="527"/>
    </row>
    <row r="158" spans="1:51" s="500" customFormat="1" ht="12" customHeight="1">
      <c r="A158" s="672">
        <v>46</v>
      </c>
      <c r="B158" s="675"/>
      <c r="C158" s="693"/>
      <c r="D158" s="681" t="s">
        <v>628</v>
      </c>
      <c r="E158" s="517"/>
      <c r="F158" s="684"/>
      <c r="G158" s="685"/>
      <c r="H158" s="518" t="s">
        <v>629</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90">
        <f t="shared" ref="AN158" si="218">IF(LEFT($AN$1,6)="共同生活援助",SUM(I159:AM159),SUM(I159:AM160))</f>
        <v>0</v>
      </c>
      <c r="AO158" s="662">
        <f>IF($AN$3="４週",AN158/4,AN158/(DAY(EOMONTH($I$21,0))/7))</f>
        <v>0</v>
      </c>
      <c r="AP158" s="665"/>
      <c r="AQ158" s="666"/>
      <c r="AR158" s="662" t="str">
        <f t="shared" ref="AR158" si="219">IF($AN$3="４週",AU159,AV159)</f>
        <v/>
      </c>
      <c r="AS158" s="662"/>
      <c r="AT158" s="671" t="str">
        <f t="shared" ref="AT158" si="220">IF(AX159&lt;=1.1,"",IF(AY159&lt;=1.1,"",IF(F158="","","勤務時間"&amp;CHAR(10)&amp;"OVER")))</f>
        <v/>
      </c>
      <c r="AU158" s="520" t="s">
        <v>630</v>
      </c>
      <c r="AV158" s="520" t="s">
        <v>631</v>
      </c>
      <c r="AX158" s="520" t="s">
        <v>632</v>
      </c>
      <c r="AY158" s="520" t="s">
        <v>633</v>
      </c>
    </row>
    <row r="159" spans="1:51" s="500" customFormat="1" ht="12" customHeight="1">
      <c r="A159" s="673"/>
      <c r="B159" s="676"/>
      <c r="C159" s="694"/>
      <c r="D159" s="682"/>
      <c r="E159" s="521"/>
      <c r="F159" s="686"/>
      <c r="G159" s="687"/>
      <c r="H159" s="522" t="s">
        <v>634</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91"/>
      <c r="AO159" s="663"/>
      <c r="AP159" s="667"/>
      <c r="AQ159" s="668"/>
      <c r="AR159" s="663"/>
      <c r="AS159" s="663"/>
      <c r="AT159" s="671"/>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4"/>
      <c r="B160" s="677"/>
      <c r="C160" s="695"/>
      <c r="D160" s="683"/>
      <c r="E160" s="521"/>
      <c r="F160" s="688"/>
      <c r="G160" s="689"/>
      <c r="H160" s="525" t="s">
        <v>635</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92"/>
      <c r="AO160" s="664"/>
      <c r="AP160" s="669"/>
      <c r="AQ160" s="670"/>
      <c r="AR160" s="664"/>
      <c r="AS160" s="664"/>
      <c r="AT160" s="671"/>
      <c r="AU160" s="527"/>
      <c r="AV160" s="527"/>
      <c r="AX160" s="527"/>
      <c r="AY160" s="527"/>
    </row>
    <row r="161" spans="1:51" s="500" customFormat="1" ht="12" customHeight="1">
      <c r="A161" s="672">
        <v>47</v>
      </c>
      <c r="B161" s="675"/>
      <c r="C161" s="693"/>
      <c r="D161" s="681" t="s">
        <v>628</v>
      </c>
      <c r="E161" s="517"/>
      <c r="F161" s="684"/>
      <c r="G161" s="685"/>
      <c r="H161" s="518" t="s">
        <v>629</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90">
        <f t="shared" ref="AN161" si="223">IF(LEFT($AN$1,6)="共同生活援助",SUM(I162:AM162),SUM(I162:AM163))</f>
        <v>0</v>
      </c>
      <c r="AO161" s="662">
        <f>IF($AN$3="４週",AN161/4,AN161/(DAY(EOMONTH($I$21,0))/7))</f>
        <v>0</v>
      </c>
      <c r="AP161" s="665"/>
      <c r="AQ161" s="666"/>
      <c r="AR161" s="662" t="str">
        <f t="shared" ref="AR161" si="224">IF($AN$3="４週",AU162,AV162)</f>
        <v/>
      </c>
      <c r="AS161" s="662"/>
      <c r="AT161" s="671" t="str">
        <f t="shared" ref="AT161" si="225">IF(AX162&lt;=1.1,"",IF(AY162&lt;=1.1,"",IF(F161="","","勤務時間"&amp;CHAR(10)&amp;"OVER")))</f>
        <v/>
      </c>
      <c r="AU161" s="520" t="s">
        <v>630</v>
      </c>
      <c r="AV161" s="520" t="s">
        <v>631</v>
      </c>
      <c r="AX161" s="520" t="s">
        <v>632</v>
      </c>
      <c r="AY161" s="520" t="s">
        <v>633</v>
      </c>
    </row>
    <row r="162" spans="1:51" s="500" customFormat="1" ht="12" customHeight="1">
      <c r="A162" s="673"/>
      <c r="B162" s="676"/>
      <c r="C162" s="694"/>
      <c r="D162" s="682"/>
      <c r="E162" s="521"/>
      <c r="F162" s="686"/>
      <c r="G162" s="687"/>
      <c r="H162" s="522" t="s">
        <v>634</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91"/>
      <c r="AO162" s="663"/>
      <c r="AP162" s="667"/>
      <c r="AQ162" s="668"/>
      <c r="AR162" s="663"/>
      <c r="AS162" s="663"/>
      <c r="AT162" s="671"/>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4"/>
      <c r="B163" s="677"/>
      <c r="C163" s="695"/>
      <c r="D163" s="683"/>
      <c r="E163" s="521"/>
      <c r="F163" s="688"/>
      <c r="G163" s="689"/>
      <c r="H163" s="525" t="s">
        <v>635</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92"/>
      <c r="AO163" s="664"/>
      <c r="AP163" s="669"/>
      <c r="AQ163" s="670"/>
      <c r="AR163" s="664"/>
      <c r="AS163" s="664"/>
      <c r="AT163" s="671"/>
      <c r="AU163" s="527"/>
      <c r="AV163" s="527"/>
      <c r="AX163" s="527"/>
      <c r="AY163" s="527"/>
    </row>
    <row r="164" spans="1:51" s="500" customFormat="1" ht="12" customHeight="1">
      <c r="A164" s="672">
        <v>48</v>
      </c>
      <c r="B164" s="675"/>
      <c r="C164" s="678"/>
      <c r="D164" s="681" t="s">
        <v>628</v>
      </c>
      <c r="E164" s="517"/>
      <c r="F164" s="684"/>
      <c r="G164" s="685"/>
      <c r="H164" s="518" t="s">
        <v>629</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90">
        <f t="shared" ref="AN164" si="228">IF(LEFT($AN$1,6)="共同生活援助",SUM(I165:AM165),SUM(I165:AM166))</f>
        <v>0</v>
      </c>
      <c r="AO164" s="662">
        <f>IF($AN$3="４週",AN164/4,AN164/(DAY(EOMONTH($I$21,0))/7))</f>
        <v>0</v>
      </c>
      <c r="AP164" s="665"/>
      <c r="AQ164" s="666"/>
      <c r="AR164" s="662" t="str">
        <f t="shared" ref="AR164" si="229">IF($AN$3="４週",AU165,AV165)</f>
        <v/>
      </c>
      <c r="AS164" s="662"/>
      <c r="AT164" s="671" t="str">
        <f t="shared" ref="AT164" si="230">IF(AX165&lt;=1.1,"",IF(AY165&lt;=1.1,"",IF(F164="","","勤務時間"&amp;CHAR(10)&amp;"OVER")))</f>
        <v/>
      </c>
      <c r="AU164" s="520" t="s">
        <v>630</v>
      </c>
      <c r="AV164" s="520" t="s">
        <v>631</v>
      </c>
      <c r="AX164" s="520" t="s">
        <v>632</v>
      </c>
      <c r="AY164" s="520" t="s">
        <v>633</v>
      </c>
    </row>
    <row r="165" spans="1:51" s="500" customFormat="1" ht="12" customHeight="1">
      <c r="A165" s="673"/>
      <c r="B165" s="676"/>
      <c r="C165" s="679"/>
      <c r="D165" s="682"/>
      <c r="E165" s="521"/>
      <c r="F165" s="686"/>
      <c r="G165" s="687"/>
      <c r="H165" s="522" t="s">
        <v>634</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91"/>
      <c r="AO165" s="663"/>
      <c r="AP165" s="667"/>
      <c r="AQ165" s="668"/>
      <c r="AR165" s="663"/>
      <c r="AS165" s="663"/>
      <c r="AT165" s="671"/>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4"/>
      <c r="B166" s="677"/>
      <c r="C166" s="680"/>
      <c r="D166" s="683"/>
      <c r="E166" s="521"/>
      <c r="F166" s="688"/>
      <c r="G166" s="689"/>
      <c r="H166" s="525" t="s">
        <v>635</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92"/>
      <c r="AO166" s="664"/>
      <c r="AP166" s="669"/>
      <c r="AQ166" s="670"/>
      <c r="AR166" s="664"/>
      <c r="AS166" s="664"/>
      <c r="AT166" s="671"/>
      <c r="AU166" s="527"/>
      <c r="AV166" s="527"/>
      <c r="AX166" s="527"/>
      <c r="AY166" s="527"/>
    </row>
    <row r="167" spans="1:51" s="500" customFormat="1" ht="12" customHeight="1">
      <c r="A167" s="672">
        <v>49</v>
      </c>
      <c r="B167" s="675"/>
      <c r="C167" s="693"/>
      <c r="D167" s="681" t="s">
        <v>628</v>
      </c>
      <c r="E167" s="517"/>
      <c r="F167" s="684"/>
      <c r="G167" s="685"/>
      <c r="H167" s="518" t="s">
        <v>629</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90">
        <f t="shared" ref="AN167" si="233">IF(LEFT($AN$1,6)="共同生活援助",SUM(I168:AM168),SUM(I168:AM169))</f>
        <v>0</v>
      </c>
      <c r="AO167" s="662">
        <f>IF($AN$3="４週",AN167/4,AN167/(DAY(EOMONTH($I$21,0))/7))</f>
        <v>0</v>
      </c>
      <c r="AP167" s="665"/>
      <c r="AQ167" s="666"/>
      <c r="AR167" s="662" t="str">
        <f t="shared" ref="AR167" si="234">IF($AN$3="４週",AU168,AV168)</f>
        <v/>
      </c>
      <c r="AS167" s="662"/>
      <c r="AT167" s="671" t="str">
        <f t="shared" ref="AT167" si="235">IF(AX168&lt;=1.1,"",IF(AY168&lt;=1.1,"",IF(F167="","","勤務時間"&amp;CHAR(10)&amp;"OVER")))</f>
        <v/>
      </c>
      <c r="AU167" s="520" t="s">
        <v>630</v>
      </c>
      <c r="AV167" s="520" t="s">
        <v>631</v>
      </c>
      <c r="AX167" s="520" t="s">
        <v>632</v>
      </c>
      <c r="AY167" s="520" t="s">
        <v>633</v>
      </c>
    </row>
    <row r="168" spans="1:51" s="500" customFormat="1" ht="12" customHeight="1">
      <c r="A168" s="673"/>
      <c r="B168" s="676"/>
      <c r="C168" s="694"/>
      <c r="D168" s="682"/>
      <c r="E168" s="521"/>
      <c r="F168" s="686"/>
      <c r="G168" s="687"/>
      <c r="H168" s="522" t="s">
        <v>634</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91"/>
      <c r="AO168" s="663"/>
      <c r="AP168" s="667"/>
      <c r="AQ168" s="668"/>
      <c r="AR168" s="663"/>
      <c r="AS168" s="663"/>
      <c r="AT168" s="671"/>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4"/>
      <c r="B169" s="677"/>
      <c r="C169" s="695"/>
      <c r="D169" s="683"/>
      <c r="E169" s="521"/>
      <c r="F169" s="688"/>
      <c r="G169" s="689"/>
      <c r="H169" s="525" t="s">
        <v>635</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92"/>
      <c r="AO169" s="664"/>
      <c r="AP169" s="669"/>
      <c r="AQ169" s="670"/>
      <c r="AR169" s="664"/>
      <c r="AS169" s="664"/>
      <c r="AT169" s="671"/>
      <c r="AU169" s="527"/>
      <c r="AV169" s="527"/>
      <c r="AX169" s="527"/>
      <c r="AY169" s="527"/>
    </row>
    <row r="170" spans="1:51" s="500" customFormat="1" ht="12" customHeight="1">
      <c r="A170" s="672">
        <v>50</v>
      </c>
      <c r="B170" s="675"/>
      <c r="C170" s="693"/>
      <c r="D170" s="681" t="s">
        <v>628</v>
      </c>
      <c r="E170" s="517"/>
      <c r="F170" s="684"/>
      <c r="G170" s="685"/>
      <c r="H170" s="518" t="s">
        <v>629</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90">
        <f t="shared" ref="AN170" si="238">IF(LEFT($AN$1,6)="共同生活援助",SUM(I171:AM171),SUM(I171:AM172))</f>
        <v>0</v>
      </c>
      <c r="AO170" s="662">
        <f>IF($AN$3="４週",AN170/4,AN170/(DAY(EOMONTH($I$21,0))/7))</f>
        <v>0</v>
      </c>
      <c r="AP170" s="665"/>
      <c r="AQ170" s="666"/>
      <c r="AR170" s="662" t="str">
        <f t="shared" ref="AR170" si="239">IF($AN$3="４週",AU171,AV171)</f>
        <v/>
      </c>
      <c r="AS170" s="662"/>
      <c r="AT170" s="671" t="str">
        <f t="shared" ref="AT170" si="240">IF(AX171&lt;=1.1,"",IF(AY171&lt;=1.1,"",IF(F170="","","勤務時間"&amp;CHAR(10)&amp;"OVER")))</f>
        <v/>
      </c>
      <c r="AU170" s="520" t="s">
        <v>630</v>
      </c>
      <c r="AV170" s="520" t="s">
        <v>631</v>
      </c>
      <c r="AX170" s="520" t="s">
        <v>632</v>
      </c>
      <c r="AY170" s="520" t="s">
        <v>633</v>
      </c>
    </row>
    <row r="171" spans="1:51" s="500" customFormat="1" ht="12" customHeight="1">
      <c r="A171" s="673"/>
      <c r="B171" s="676"/>
      <c r="C171" s="694"/>
      <c r="D171" s="682"/>
      <c r="E171" s="521"/>
      <c r="F171" s="686"/>
      <c r="G171" s="687"/>
      <c r="H171" s="522" t="s">
        <v>634</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91"/>
      <c r="AO171" s="663"/>
      <c r="AP171" s="667"/>
      <c r="AQ171" s="668"/>
      <c r="AR171" s="663"/>
      <c r="AS171" s="663"/>
      <c r="AT171" s="671"/>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4"/>
      <c r="B172" s="677"/>
      <c r="C172" s="695"/>
      <c r="D172" s="683"/>
      <c r="E172" s="521"/>
      <c r="F172" s="688"/>
      <c r="G172" s="689"/>
      <c r="H172" s="525" t="s">
        <v>635</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92"/>
      <c r="AO172" s="664"/>
      <c r="AP172" s="669"/>
      <c r="AQ172" s="670"/>
      <c r="AR172" s="664"/>
      <c r="AS172" s="664"/>
      <c r="AT172" s="671"/>
      <c r="AU172" s="527"/>
      <c r="AV172" s="527"/>
      <c r="AX172" s="527"/>
      <c r="AY172" s="527"/>
    </row>
    <row r="173" spans="1:51" s="500" customFormat="1" ht="12" customHeight="1">
      <c r="A173" s="672">
        <v>51</v>
      </c>
      <c r="B173" s="675"/>
      <c r="C173" s="693"/>
      <c r="D173" s="681" t="s">
        <v>628</v>
      </c>
      <c r="E173" s="517"/>
      <c r="F173" s="684"/>
      <c r="G173" s="685"/>
      <c r="H173" s="518" t="s">
        <v>629</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90">
        <f t="shared" ref="AN173" si="243">IF(LEFT($AN$1,6)="共同生活援助",SUM(I174:AM174),SUM(I174:AM175))</f>
        <v>0</v>
      </c>
      <c r="AO173" s="662">
        <f>IF($AN$3="４週",AN173/4,AN173/(DAY(EOMONTH($I$21,0))/7))</f>
        <v>0</v>
      </c>
      <c r="AP173" s="665"/>
      <c r="AQ173" s="666"/>
      <c r="AR173" s="662" t="str">
        <f t="shared" ref="AR173" si="244">IF($AN$3="４週",AU174,AV174)</f>
        <v/>
      </c>
      <c r="AS173" s="662"/>
      <c r="AT173" s="671" t="str">
        <f t="shared" ref="AT173" si="245">IF(AX174&lt;=1.1,"",IF(AY174&lt;=1.1,"",IF(F173="","","勤務時間"&amp;CHAR(10)&amp;"OVER")))</f>
        <v/>
      </c>
      <c r="AU173" s="520" t="s">
        <v>630</v>
      </c>
      <c r="AV173" s="520" t="s">
        <v>631</v>
      </c>
      <c r="AX173" s="520" t="s">
        <v>632</v>
      </c>
      <c r="AY173" s="520" t="s">
        <v>633</v>
      </c>
    </row>
    <row r="174" spans="1:51" s="500" customFormat="1" ht="12" customHeight="1">
      <c r="A174" s="673"/>
      <c r="B174" s="676"/>
      <c r="C174" s="694"/>
      <c r="D174" s="682"/>
      <c r="E174" s="521"/>
      <c r="F174" s="686"/>
      <c r="G174" s="687"/>
      <c r="H174" s="522" t="s">
        <v>634</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91"/>
      <c r="AO174" s="663"/>
      <c r="AP174" s="667"/>
      <c r="AQ174" s="668"/>
      <c r="AR174" s="663"/>
      <c r="AS174" s="663"/>
      <c r="AT174" s="671"/>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4"/>
      <c r="B175" s="677"/>
      <c r="C175" s="695"/>
      <c r="D175" s="683"/>
      <c r="E175" s="521"/>
      <c r="F175" s="688"/>
      <c r="G175" s="689"/>
      <c r="H175" s="525" t="s">
        <v>635</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92"/>
      <c r="AO175" s="664"/>
      <c r="AP175" s="669"/>
      <c r="AQ175" s="670"/>
      <c r="AR175" s="664"/>
      <c r="AS175" s="664"/>
      <c r="AT175" s="671"/>
      <c r="AU175" s="527"/>
      <c r="AV175" s="527"/>
      <c r="AX175" s="527"/>
      <c r="AY175" s="527"/>
    </row>
    <row r="176" spans="1:51" s="500" customFormat="1" ht="12" customHeight="1">
      <c r="A176" s="672">
        <v>52</v>
      </c>
      <c r="B176" s="675"/>
      <c r="C176" s="693"/>
      <c r="D176" s="681" t="s">
        <v>628</v>
      </c>
      <c r="E176" s="517"/>
      <c r="F176" s="684"/>
      <c r="G176" s="685"/>
      <c r="H176" s="518" t="s">
        <v>629</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90">
        <f t="shared" ref="AN176" si="248">IF(LEFT($AN$1,6)="共同生活援助",SUM(I177:AM177),SUM(I177:AM178))</f>
        <v>0</v>
      </c>
      <c r="AO176" s="662">
        <f>IF($AN$3="４週",AN176/4,AN176/(DAY(EOMONTH($I$21,0))/7))</f>
        <v>0</v>
      </c>
      <c r="AP176" s="665"/>
      <c r="AQ176" s="666"/>
      <c r="AR176" s="662" t="str">
        <f t="shared" ref="AR176" si="249">IF($AN$3="４週",AU177,AV177)</f>
        <v/>
      </c>
      <c r="AS176" s="662"/>
      <c r="AT176" s="671" t="str">
        <f t="shared" ref="AT176" si="250">IF(AX177&lt;=1.1,"",IF(AY177&lt;=1.1,"",IF(F176="","","勤務時間"&amp;CHAR(10)&amp;"OVER")))</f>
        <v/>
      </c>
      <c r="AU176" s="520" t="s">
        <v>630</v>
      </c>
      <c r="AV176" s="520" t="s">
        <v>631</v>
      </c>
      <c r="AX176" s="520" t="s">
        <v>632</v>
      </c>
      <c r="AY176" s="520" t="s">
        <v>633</v>
      </c>
    </row>
    <row r="177" spans="1:51" s="500" customFormat="1" ht="12" customHeight="1">
      <c r="A177" s="673"/>
      <c r="B177" s="676"/>
      <c r="C177" s="694"/>
      <c r="D177" s="682"/>
      <c r="E177" s="521"/>
      <c r="F177" s="686"/>
      <c r="G177" s="687"/>
      <c r="H177" s="522" t="s">
        <v>634</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91"/>
      <c r="AO177" s="663"/>
      <c r="AP177" s="667"/>
      <c r="AQ177" s="668"/>
      <c r="AR177" s="663"/>
      <c r="AS177" s="663"/>
      <c r="AT177" s="671"/>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4"/>
      <c r="B178" s="677"/>
      <c r="C178" s="695"/>
      <c r="D178" s="683"/>
      <c r="E178" s="521"/>
      <c r="F178" s="688"/>
      <c r="G178" s="689"/>
      <c r="H178" s="525" t="s">
        <v>635</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92"/>
      <c r="AO178" s="664"/>
      <c r="AP178" s="669"/>
      <c r="AQ178" s="670"/>
      <c r="AR178" s="664"/>
      <c r="AS178" s="664"/>
      <c r="AT178" s="671"/>
      <c r="AU178" s="527"/>
      <c r="AV178" s="527"/>
      <c r="AX178" s="527"/>
      <c r="AY178" s="527"/>
    </row>
    <row r="179" spans="1:51" s="500" customFormat="1" ht="12" customHeight="1">
      <c r="A179" s="672">
        <v>53</v>
      </c>
      <c r="B179" s="675"/>
      <c r="C179" s="693"/>
      <c r="D179" s="681" t="s">
        <v>628</v>
      </c>
      <c r="E179" s="517"/>
      <c r="F179" s="684"/>
      <c r="G179" s="685"/>
      <c r="H179" s="518" t="s">
        <v>629</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90">
        <f t="shared" ref="AN179" si="251">IF(LEFT($AN$1,6)="共同生活援助",SUM(I180:AM180),SUM(I180:AM181))</f>
        <v>0</v>
      </c>
      <c r="AO179" s="662">
        <f>IF($AN$3="４週",AN179/4,AN179/(DAY(EOMONTH($I$21,0))/7))</f>
        <v>0</v>
      </c>
      <c r="AP179" s="665"/>
      <c r="AQ179" s="666"/>
      <c r="AR179" s="662" t="str">
        <f t="shared" ref="AR179" si="252">IF($AN$3="４週",AU180,AV180)</f>
        <v/>
      </c>
      <c r="AS179" s="662"/>
      <c r="AT179" s="671" t="str">
        <f t="shared" ref="AT179" si="253">IF(AX180&lt;=1.1,"",IF(AY180&lt;=1.1,"",IF(F179="","","勤務時間"&amp;CHAR(10)&amp;"OVER")))</f>
        <v/>
      </c>
      <c r="AU179" s="520" t="s">
        <v>630</v>
      </c>
      <c r="AV179" s="520" t="s">
        <v>631</v>
      </c>
      <c r="AX179" s="520" t="s">
        <v>632</v>
      </c>
      <c r="AY179" s="520" t="s">
        <v>633</v>
      </c>
    </row>
    <row r="180" spans="1:51" s="500" customFormat="1" ht="12" customHeight="1">
      <c r="A180" s="673"/>
      <c r="B180" s="676"/>
      <c r="C180" s="694"/>
      <c r="D180" s="682"/>
      <c r="E180" s="521"/>
      <c r="F180" s="686"/>
      <c r="G180" s="687"/>
      <c r="H180" s="522" t="s">
        <v>634</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91"/>
      <c r="AO180" s="663"/>
      <c r="AP180" s="667"/>
      <c r="AQ180" s="668"/>
      <c r="AR180" s="663"/>
      <c r="AS180" s="663"/>
      <c r="AT180" s="671"/>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4"/>
      <c r="B181" s="677"/>
      <c r="C181" s="695"/>
      <c r="D181" s="683"/>
      <c r="E181" s="521"/>
      <c r="F181" s="688"/>
      <c r="G181" s="689"/>
      <c r="H181" s="525" t="s">
        <v>635</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92"/>
      <c r="AO181" s="664"/>
      <c r="AP181" s="669"/>
      <c r="AQ181" s="670"/>
      <c r="AR181" s="664"/>
      <c r="AS181" s="664"/>
      <c r="AT181" s="671"/>
      <c r="AU181" s="527"/>
      <c r="AV181" s="527"/>
      <c r="AX181" s="527"/>
      <c r="AY181" s="527"/>
    </row>
    <row r="182" spans="1:51" s="500" customFormat="1" ht="12" customHeight="1">
      <c r="A182" s="672">
        <v>54</v>
      </c>
      <c r="B182" s="675"/>
      <c r="C182" s="693"/>
      <c r="D182" s="681" t="s">
        <v>628</v>
      </c>
      <c r="E182" s="517"/>
      <c r="F182" s="684"/>
      <c r="G182" s="685"/>
      <c r="H182" s="518" t="s">
        <v>629</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90">
        <f t="shared" ref="AN182" si="256">IF(LEFT($AN$1,6)="共同生活援助",SUM(I183:AM183),SUM(I183:AM184))</f>
        <v>0</v>
      </c>
      <c r="AO182" s="662">
        <f>IF($AN$3="４週",AN182/4,AN182/(DAY(EOMONTH($I$21,0))/7))</f>
        <v>0</v>
      </c>
      <c r="AP182" s="665"/>
      <c r="AQ182" s="666"/>
      <c r="AR182" s="662" t="str">
        <f t="shared" ref="AR182" si="257">IF($AN$3="４週",AU183,AV183)</f>
        <v/>
      </c>
      <c r="AS182" s="662"/>
      <c r="AT182" s="671" t="str">
        <f t="shared" ref="AT182" si="258">IF(AX183&lt;=1.1,"",IF(AY183&lt;=1.1,"",IF(F182="","","勤務時間"&amp;CHAR(10)&amp;"OVER")))</f>
        <v/>
      </c>
      <c r="AU182" s="520" t="s">
        <v>630</v>
      </c>
      <c r="AV182" s="520" t="s">
        <v>631</v>
      </c>
      <c r="AX182" s="520" t="s">
        <v>632</v>
      </c>
      <c r="AY182" s="520" t="s">
        <v>633</v>
      </c>
    </row>
    <row r="183" spans="1:51" s="500" customFormat="1" ht="12" customHeight="1">
      <c r="A183" s="673"/>
      <c r="B183" s="676"/>
      <c r="C183" s="694"/>
      <c r="D183" s="682"/>
      <c r="E183" s="521"/>
      <c r="F183" s="686"/>
      <c r="G183" s="687"/>
      <c r="H183" s="522" t="s">
        <v>634</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91"/>
      <c r="AO183" s="663"/>
      <c r="AP183" s="667"/>
      <c r="AQ183" s="668"/>
      <c r="AR183" s="663"/>
      <c r="AS183" s="663"/>
      <c r="AT183" s="671"/>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4"/>
      <c r="B184" s="677"/>
      <c r="C184" s="695"/>
      <c r="D184" s="683"/>
      <c r="E184" s="521"/>
      <c r="F184" s="688"/>
      <c r="G184" s="689"/>
      <c r="H184" s="525" t="s">
        <v>635</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92"/>
      <c r="AO184" s="664"/>
      <c r="AP184" s="669"/>
      <c r="AQ184" s="670"/>
      <c r="AR184" s="664"/>
      <c r="AS184" s="664"/>
      <c r="AT184" s="671"/>
      <c r="AU184" s="527"/>
      <c r="AV184" s="527"/>
      <c r="AX184" s="527"/>
      <c r="AY184" s="527"/>
    </row>
    <row r="185" spans="1:51" s="500" customFormat="1" ht="12" customHeight="1">
      <c r="A185" s="672">
        <v>55</v>
      </c>
      <c r="B185" s="675"/>
      <c r="C185" s="693"/>
      <c r="D185" s="681" t="s">
        <v>628</v>
      </c>
      <c r="E185" s="517"/>
      <c r="F185" s="684"/>
      <c r="G185" s="685"/>
      <c r="H185" s="518" t="s">
        <v>629</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90">
        <f t="shared" ref="AN185" si="261">IF(LEFT($AN$1,6)="共同生活援助",SUM(I186:AM186),SUM(I186:AM187))</f>
        <v>0</v>
      </c>
      <c r="AO185" s="662">
        <f>IF($AN$3="４週",AN185/4,AN185/(DAY(EOMONTH($I$21,0))/7))</f>
        <v>0</v>
      </c>
      <c r="AP185" s="665"/>
      <c r="AQ185" s="666"/>
      <c r="AR185" s="662" t="str">
        <f t="shared" ref="AR185" si="262">IF($AN$3="４週",AU186,AV186)</f>
        <v/>
      </c>
      <c r="AS185" s="662"/>
      <c r="AT185" s="671" t="str">
        <f t="shared" ref="AT185" si="263">IF(AX186&lt;=1.1,"",IF(AY186&lt;=1.1,"",IF(F185="","","勤務時間"&amp;CHAR(10)&amp;"OVER")))</f>
        <v/>
      </c>
      <c r="AU185" s="520" t="s">
        <v>630</v>
      </c>
      <c r="AV185" s="520" t="s">
        <v>631</v>
      </c>
      <c r="AX185" s="520" t="s">
        <v>632</v>
      </c>
      <c r="AY185" s="520" t="s">
        <v>633</v>
      </c>
    </row>
    <row r="186" spans="1:51" s="500" customFormat="1" ht="12" customHeight="1">
      <c r="A186" s="673"/>
      <c r="B186" s="676"/>
      <c r="C186" s="694"/>
      <c r="D186" s="682"/>
      <c r="E186" s="521"/>
      <c r="F186" s="686"/>
      <c r="G186" s="687"/>
      <c r="H186" s="522" t="s">
        <v>634</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91"/>
      <c r="AO186" s="663"/>
      <c r="AP186" s="667"/>
      <c r="AQ186" s="668"/>
      <c r="AR186" s="663"/>
      <c r="AS186" s="663"/>
      <c r="AT186" s="671"/>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4"/>
      <c r="B187" s="677"/>
      <c r="C187" s="695"/>
      <c r="D187" s="683"/>
      <c r="E187" s="521"/>
      <c r="F187" s="688"/>
      <c r="G187" s="689"/>
      <c r="H187" s="525" t="s">
        <v>635</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92"/>
      <c r="AO187" s="664"/>
      <c r="AP187" s="669"/>
      <c r="AQ187" s="670"/>
      <c r="AR187" s="664"/>
      <c r="AS187" s="664"/>
      <c r="AT187" s="671"/>
      <c r="AU187" s="527"/>
      <c r="AV187" s="527"/>
      <c r="AX187" s="527"/>
      <c r="AY187" s="527"/>
    </row>
    <row r="188" spans="1:51" s="500" customFormat="1" ht="12" customHeight="1">
      <c r="A188" s="672">
        <v>56</v>
      </c>
      <c r="B188" s="675"/>
      <c r="C188" s="693"/>
      <c r="D188" s="681" t="s">
        <v>628</v>
      </c>
      <c r="E188" s="517"/>
      <c r="F188" s="684"/>
      <c r="G188" s="685"/>
      <c r="H188" s="518" t="s">
        <v>629</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90">
        <f t="shared" ref="AN188" si="266">IF(LEFT($AN$1,6)="共同生活援助",SUM(I189:AM189),SUM(I189:AM190))</f>
        <v>0</v>
      </c>
      <c r="AO188" s="662">
        <f>IF($AN$3="４週",AN188/4,AN188/(DAY(EOMONTH($I$21,0))/7))</f>
        <v>0</v>
      </c>
      <c r="AP188" s="665"/>
      <c r="AQ188" s="666"/>
      <c r="AR188" s="662" t="str">
        <f t="shared" ref="AR188" si="267">IF($AN$3="４週",AU189,AV189)</f>
        <v/>
      </c>
      <c r="AS188" s="662"/>
      <c r="AT188" s="671" t="str">
        <f t="shared" ref="AT188" si="268">IF(AX189&lt;=1.1,"",IF(AY189&lt;=1.1,"",IF(F188="","","勤務時間"&amp;CHAR(10)&amp;"OVER")))</f>
        <v/>
      </c>
      <c r="AU188" s="520" t="s">
        <v>630</v>
      </c>
      <c r="AV188" s="520" t="s">
        <v>631</v>
      </c>
      <c r="AX188" s="520" t="s">
        <v>632</v>
      </c>
      <c r="AY188" s="520" t="s">
        <v>633</v>
      </c>
    </row>
    <row r="189" spans="1:51" s="500" customFormat="1" ht="12" customHeight="1">
      <c r="A189" s="673"/>
      <c r="B189" s="676"/>
      <c r="C189" s="694"/>
      <c r="D189" s="682"/>
      <c r="E189" s="521"/>
      <c r="F189" s="686"/>
      <c r="G189" s="687"/>
      <c r="H189" s="522" t="s">
        <v>634</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91"/>
      <c r="AO189" s="663"/>
      <c r="AP189" s="667"/>
      <c r="AQ189" s="668"/>
      <c r="AR189" s="663"/>
      <c r="AS189" s="663"/>
      <c r="AT189" s="671"/>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4"/>
      <c r="B190" s="677"/>
      <c r="C190" s="695"/>
      <c r="D190" s="683"/>
      <c r="E190" s="521"/>
      <c r="F190" s="688"/>
      <c r="G190" s="689"/>
      <c r="H190" s="525" t="s">
        <v>635</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92"/>
      <c r="AO190" s="664"/>
      <c r="AP190" s="669"/>
      <c r="AQ190" s="670"/>
      <c r="AR190" s="664"/>
      <c r="AS190" s="664"/>
      <c r="AT190" s="671"/>
      <c r="AU190" s="527"/>
      <c r="AV190" s="527"/>
      <c r="AX190" s="527"/>
      <c r="AY190" s="527"/>
    </row>
    <row r="191" spans="1:51" s="500" customFormat="1" ht="12" customHeight="1">
      <c r="A191" s="672">
        <v>57</v>
      </c>
      <c r="B191" s="675"/>
      <c r="C191" s="693"/>
      <c r="D191" s="681" t="s">
        <v>628</v>
      </c>
      <c r="E191" s="517"/>
      <c r="F191" s="684"/>
      <c r="G191" s="685"/>
      <c r="H191" s="518" t="s">
        <v>629</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90">
        <f t="shared" ref="AN191" si="271">IF(LEFT($AN$1,6)="共同生活援助",SUM(I192:AM192),SUM(I192:AM193))</f>
        <v>0</v>
      </c>
      <c r="AO191" s="662">
        <f>IF($AN$3="４週",AN191/4,AN191/(DAY(EOMONTH($I$21,0))/7))</f>
        <v>0</v>
      </c>
      <c r="AP191" s="665"/>
      <c r="AQ191" s="666"/>
      <c r="AR191" s="662" t="str">
        <f t="shared" ref="AR191" si="272">IF($AN$3="４週",AU192,AV192)</f>
        <v/>
      </c>
      <c r="AS191" s="662"/>
      <c r="AT191" s="671" t="str">
        <f t="shared" ref="AT191" si="273">IF(AX192&lt;=1.1,"",IF(AY192&lt;=1.1,"",IF(F191="","","勤務時間"&amp;CHAR(10)&amp;"OVER")))</f>
        <v/>
      </c>
      <c r="AU191" s="520" t="s">
        <v>630</v>
      </c>
      <c r="AV191" s="520" t="s">
        <v>631</v>
      </c>
      <c r="AX191" s="520" t="s">
        <v>632</v>
      </c>
      <c r="AY191" s="520" t="s">
        <v>633</v>
      </c>
    </row>
    <row r="192" spans="1:51" s="500" customFormat="1" ht="12" customHeight="1">
      <c r="A192" s="673"/>
      <c r="B192" s="676"/>
      <c r="C192" s="694"/>
      <c r="D192" s="682"/>
      <c r="E192" s="521"/>
      <c r="F192" s="686"/>
      <c r="G192" s="687"/>
      <c r="H192" s="522" t="s">
        <v>634</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91"/>
      <c r="AO192" s="663"/>
      <c r="AP192" s="667"/>
      <c r="AQ192" s="668"/>
      <c r="AR192" s="663"/>
      <c r="AS192" s="663"/>
      <c r="AT192" s="671"/>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4"/>
      <c r="B193" s="677"/>
      <c r="C193" s="695"/>
      <c r="D193" s="683"/>
      <c r="E193" s="521"/>
      <c r="F193" s="688"/>
      <c r="G193" s="689"/>
      <c r="H193" s="525" t="s">
        <v>635</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92"/>
      <c r="AO193" s="664"/>
      <c r="AP193" s="669"/>
      <c r="AQ193" s="670"/>
      <c r="AR193" s="664"/>
      <c r="AS193" s="664"/>
      <c r="AT193" s="671"/>
      <c r="AU193" s="527"/>
      <c r="AV193" s="527"/>
      <c r="AX193" s="527"/>
      <c r="AY193" s="527"/>
    </row>
    <row r="194" spans="1:51" s="500" customFormat="1" ht="12" customHeight="1">
      <c r="A194" s="672">
        <v>58</v>
      </c>
      <c r="B194" s="675"/>
      <c r="C194" s="693"/>
      <c r="D194" s="681" t="s">
        <v>628</v>
      </c>
      <c r="E194" s="517"/>
      <c r="F194" s="684"/>
      <c r="G194" s="685"/>
      <c r="H194" s="518" t="s">
        <v>629</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90">
        <f t="shared" ref="AN194" si="276">IF(LEFT($AN$1,6)="共同生活援助",SUM(I195:AM195),SUM(I195:AM196))</f>
        <v>0</v>
      </c>
      <c r="AO194" s="662">
        <f>IF($AN$3="４週",AN194/4,AN194/(DAY(EOMONTH($I$21,0))/7))</f>
        <v>0</v>
      </c>
      <c r="AP194" s="665"/>
      <c r="AQ194" s="666"/>
      <c r="AR194" s="662" t="str">
        <f t="shared" ref="AR194" si="277">IF($AN$3="４週",AU195,AV195)</f>
        <v/>
      </c>
      <c r="AS194" s="662"/>
      <c r="AT194" s="671" t="str">
        <f t="shared" ref="AT194" si="278">IF(AX195&lt;=1.1,"",IF(AY195&lt;=1.1,"",IF(F194="","","勤務時間"&amp;CHAR(10)&amp;"OVER")))</f>
        <v/>
      </c>
      <c r="AU194" s="520" t="s">
        <v>630</v>
      </c>
      <c r="AV194" s="520" t="s">
        <v>631</v>
      </c>
      <c r="AX194" s="520" t="s">
        <v>632</v>
      </c>
      <c r="AY194" s="520" t="s">
        <v>633</v>
      </c>
    </row>
    <row r="195" spans="1:51" s="500" customFormat="1" ht="12" customHeight="1">
      <c r="A195" s="673"/>
      <c r="B195" s="676"/>
      <c r="C195" s="694"/>
      <c r="D195" s="682"/>
      <c r="E195" s="521"/>
      <c r="F195" s="686"/>
      <c r="G195" s="687"/>
      <c r="H195" s="522" t="s">
        <v>634</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91"/>
      <c r="AO195" s="663"/>
      <c r="AP195" s="667"/>
      <c r="AQ195" s="668"/>
      <c r="AR195" s="663"/>
      <c r="AS195" s="663"/>
      <c r="AT195" s="671"/>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4"/>
      <c r="B196" s="677"/>
      <c r="C196" s="695"/>
      <c r="D196" s="683"/>
      <c r="E196" s="521"/>
      <c r="F196" s="688"/>
      <c r="G196" s="689"/>
      <c r="H196" s="525" t="s">
        <v>635</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92"/>
      <c r="AO196" s="664"/>
      <c r="AP196" s="669"/>
      <c r="AQ196" s="670"/>
      <c r="AR196" s="664"/>
      <c r="AS196" s="664"/>
      <c r="AT196" s="671"/>
      <c r="AU196" s="527"/>
      <c r="AV196" s="527"/>
      <c r="AX196" s="527"/>
      <c r="AY196" s="527"/>
    </row>
    <row r="197" spans="1:51" s="500" customFormat="1" ht="12" customHeight="1">
      <c r="A197" s="672">
        <v>59</v>
      </c>
      <c r="B197" s="675"/>
      <c r="C197" s="693"/>
      <c r="D197" s="681" t="s">
        <v>628</v>
      </c>
      <c r="E197" s="517"/>
      <c r="F197" s="684"/>
      <c r="G197" s="685"/>
      <c r="H197" s="518" t="s">
        <v>629</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90">
        <f t="shared" ref="AN197" si="281">IF(LEFT($AN$1,6)="共同生活援助",SUM(I198:AM198),SUM(I198:AM199))</f>
        <v>0</v>
      </c>
      <c r="AO197" s="662">
        <f>IF($AN$3="４週",AN197/4,AN197/(DAY(EOMONTH($I$21,0))/7))</f>
        <v>0</v>
      </c>
      <c r="AP197" s="665"/>
      <c r="AQ197" s="666"/>
      <c r="AR197" s="662" t="str">
        <f t="shared" ref="AR197" si="282">IF($AN$3="４週",AU198,AV198)</f>
        <v/>
      </c>
      <c r="AS197" s="662"/>
      <c r="AT197" s="671" t="str">
        <f t="shared" ref="AT197" si="283">IF(AX198&lt;=1.1,"",IF(AY198&lt;=1.1,"",IF(F197="","","勤務時間"&amp;CHAR(10)&amp;"OVER")))</f>
        <v/>
      </c>
      <c r="AU197" s="520" t="s">
        <v>630</v>
      </c>
      <c r="AV197" s="520" t="s">
        <v>631</v>
      </c>
      <c r="AX197" s="520" t="s">
        <v>632</v>
      </c>
      <c r="AY197" s="520" t="s">
        <v>633</v>
      </c>
    </row>
    <row r="198" spans="1:51" s="500" customFormat="1" ht="12" customHeight="1">
      <c r="A198" s="673"/>
      <c r="B198" s="676"/>
      <c r="C198" s="694"/>
      <c r="D198" s="682"/>
      <c r="E198" s="521"/>
      <c r="F198" s="686"/>
      <c r="G198" s="687"/>
      <c r="H198" s="522" t="s">
        <v>634</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91"/>
      <c r="AO198" s="663"/>
      <c r="AP198" s="667"/>
      <c r="AQ198" s="668"/>
      <c r="AR198" s="663"/>
      <c r="AS198" s="663"/>
      <c r="AT198" s="671"/>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4"/>
      <c r="B199" s="677"/>
      <c r="C199" s="695"/>
      <c r="D199" s="683"/>
      <c r="E199" s="521"/>
      <c r="F199" s="688"/>
      <c r="G199" s="689"/>
      <c r="H199" s="525" t="s">
        <v>635</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92"/>
      <c r="AO199" s="664"/>
      <c r="AP199" s="669"/>
      <c r="AQ199" s="670"/>
      <c r="AR199" s="664"/>
      <c r="AS199" s="664"/>
      <c r="AT199" s="671"/>
      <c r="AU199" s="527"/>
      <c r="AV199" s="527"/>
      <c r="AX199" s="527"/>
      <c r="AY199" s="527"/>
    </row>
    <row r="200" spans="1:51" s="500" customFormat="1" ht="12" customHeight="1">
      <c r="A200" s="672">
        <v>60</v>
      </c>
      <c r="B200" s="675"/>
      <c r="C200" s="693"/>
      <c r="D200" s="681" t="s">
        <v>628</v>
      </c>
      <c r="E200" s="517"/>
      <c r="F200" s="684"/>
      <c r="G200" s="685"/>
      <c r="H200" s="518" t="s">
        <v>629</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90">
        <f t="shared" ref="AN200" si="286">IF(LEFT($AN$1,6)="共同生活援助",SUM(I201:AM201),SUM(I201:AM202))</f>
        <v>0</v>
      </c>
      <c r="AO200" s="662">
        <f>IF($AN$3="４週",AN200/4,AN200/(DAY(EOMONTH($I$21,0))/7))</f>
        <v>0</v>
      </c>
      <c r="AP200" s="665"/>
      <c r="AQ200" s="666"/>
      <c r="AR200" s="662" t="str">
        <f t="shared" ref="AR200" si="287">IF($AN$3="４週",AU201,AV201)</f>
        <v/>
      </c>
      <c r="AS200" s="662"/>
      <c r="AT200" s="671" t="str">
        <f t="shared" ref="AT200" si="288">IF(AX201&lt;=1.1,"",IF(AY201&lt;=1.1,"",IF(F200="","","勤務時間"&amp;CHAR(10)&amp;"OVER")))</f>
        <v/>
      </c>
      <c r="AU200" s="520" t="s">
        <v>630</v>
      </c>
      <c r="AV200" s="520" t="s">
        <v>631</v>
      </c>
      <c r="AX200" s="520" t="s">
        <v>632</v>
      </c>
      <c r="AY200" s="520" t="s">
        <v>633</v>
      </c>
    </row>
    <row r="201" spans="1:51" s="500" customFormat="1" ht="12" customHeight="1">
      <c r="A201" s="673"/>
      <c r="B201" s="676"/>
      <c r="C201" s="694"/>
      <c r="D201" s="682"/>
      <c r="E201" s="521"/>
      <c r="F201" s="686"/>
      <c r="G201" s="687"/>
      <c r="H201" s="522" t="s">
        <v>634</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91"/>
      <c r="AO201" s="663"/>
      <c r="AP201" s="667"/>
      <c r="AQ201" s="668"/>
      <c r="AR201" s="663"/>
      <c r="AS201" s="663"/>
      <c r="AT201" s="671"/>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4"/>
      <c r="B202" s="677"/>
      <c r="C202" s="695"/>
      <c r="D202" s="683"/>
      <c r="E202" s="521"/>
      <c r="F202" s="688"/>
      <c r="G202" s="689"/>
      <c r="H202" s="525" t="s">
        <v>635</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92"/>
      <c r="AO202" s="664"/>
      <c r="AP202" s="669"/>
      <c r="AQ202" s="670"/>
      <c r="AR202" s="664"/>
      <c r="AS202" s="664"/>
      <c r="AT202" s="671"/>
      <c r="AU202" s="527"/>
      <c r="AV202" s="527"/>
      <c r="AX202" s="527"/>
      <c r="AY202" s="527"/>
    </row>
    <row r="203" spans="1:51" s="500" customFormat="1" ht="12" customHeight="1">
      <c r="A203" s="672">
        <v>61</v>
      </c>
      <c r="B203" s="675"/>
      <c r="C203" s="693"/>
      <c r="D203" s="681" t="s">
        <v>628</v>
      </c>
      <c r="E203" s="517"/>
      <c r="F203" s="684"/>
      <c r="G203" s="685"/>
      <c r="H203" s="518" t="s">
        <v>629</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90">
        <f t="shared" ref="AN203" si="291">IF(LEFT($AN$1,6)="共同生活援助",SUM(I204:AM204),SUM(I204:AM205))</f>
        <v>0</v>
      </c>
      <c r="AO203" s="662">
        <f>IF($AN$3="４週",AN203/4,AN203/(DAY(EOMONTH($I$21,0))/7))</f>
        <v>0</v>
      </c>
      <c r="AP203" s="665"/>
      <c r="AQ203" s="666"/>
      <c r="AR203" s="662" t="str">
        <f t="shared" ref="AR203" si="292">IF($AN$3="４週",AU204,AV204)</f>
        <v/>
      </c>
      <c r="AS203" s="662"/>
      <c r="AT203" s="671" t="str">
        <f t="shared" ref="AT203" si="293">IF(AX204&lt;=1.1,"",IF(AY204&lt;=1.1,"",IF(F203="","","勤務時間"&amp;CHAR(10)&amp;"OVER")))</f>
        <v/>
      </c>
      <c r="AU203" s="520" t="s">
        <v>630</v>
      </c>
      <c r="AV203" s="520" t="s">
        <v>631</v>
      </c>
      <c r="AX203" s="520" t="s">
        <v>632</v>
      </c>
      <c r="AY203" s="520" t="s">
        <v>633</v>
      </c>
    </row>
    <row r="204" spans="1:51" s="500" customFormat="1" ht="12" customHeight="1">
      <c r="A204" s="673"/>
      <c r="B204" s="676"/>
      <c r="C204" s="694"/>
      <c r="D204" s="682"/>
      <c r="E204" s="521"/>
      <c r="F204" s="686"/>
      <c r="G204" s="687"/>
      <c r="H204" s="522" t="s">
        <v>634</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91"/>
      <c r="AO204" s="663"/>
      <c r="AP204" s="667"/>
      <c r="AQ204" s="668"/>
      <c r="AR204" s="663"/>
      <c r="AS204" s="663"/>
      <c r="AT204" s="671"/>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4"/>
      <c r="B205" s="677"/>
      <c r="C205" s="695"/>
      <c r="D205" s="683"/>
      <c r="E205" s="521"/>
      <c r="F205" s="688"/>
      <c r="G205" s="689"/>
      <c r="H205" s="525" t="s">
        <v>635</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92"/>
      <c r="AO205" s="664"/>
      <c r="AP205" s="669"/>
      <c r="AQ205" s="670"/>
      <c r="AR205" s="664"/>
      <c r="AS205" s="664"/>
      <c r="AT205" s="671"/>
      <c r="AU205" s="527"/>
      <c r="AV205" s="527"/>
      <c r="AX205" s="527"/>
      <c r="AY205" s="527"/>
    </row>
    <row r="206" spans="1:51" s="500" customFormat="1" ht="12" customHeight="1">
      <c r="A206" s="672">
        <v>62</v>
      </c>
      <c r="B206" s="675"/>
      <c r="C206" s="693"/>
      <c r="D206" s="681" t="s">
        <v>628</v>
      </c>
      <c r="E206" s="517"/>
      <c r="F206" s="684"/>
      <c r="G206" s="685"/>
      <c r="H206" s="518" t="s">
        <v>629</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90">
        <f t="shared" ref="AN206" si="296">IF(LEFT($AN$1,6)="共同生活援助",SUM(I207:AM207),SUM(I207:AM208))</f>
        <v>0</v>
      </c>
      <c r="AO206" s="662">
        <f>IF($AN$3="４週",AN206/4,AN206/(DAY(EOMONTH($I$21,0))/7))</f>
        <v>0</v>
      </c>
      <c r="AP206" s="665"/>
      <c r="AQ206" s="666"/>
      <c r="AR206" s="662" t="str">
        <f t="shared" ref="AR206" si="297">IF($AN$3="４週",AU207,AV207)</f>
        <v/>
      </c>
      <c r="AS206" s="662"/>
      <c r="AT206" s="671" t="str">
        <f t="shared" ref="AT206" si="298">IF(AX207&lt;=1.1,"",IF(AY207&lt;=1.1,"",IF(F206="","","勤務時間"&amp;CHAR(10)&amp;"OVER")))</f>
        <v/>
      </c>
      <c r="AU206" s="520" t="s">
        <v>630</v>
      </c>
      <c r="AV206" s="520" t="s">
        <v>631</v>
      </c>
      <c r="AX206" s="520" t="s">
        <v>632</v>
      </c>
      <c r="AY206" s="520" t="s">
        <v>633</v>
      </c>
    </row>
    <row r="207" spans="1:51" s="500" customFormat="1" ht="12" customHeight="1">
      <c r="A207" s="673"/>
      <c r="B207" s="676"/>
      <c r="C207" s="694"/>
      <c r="D207" s="682"/>
      <c r="E207" s="521"/>
      <c r="F207" s="686"/>
      <c r="G207" s="687"/>
      <c r="H207" s="522" t="s">
        <v>634</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91"/>
      <c r="AO207" s="663"/>
      <c r="AP207" s="667"/>
      <c r="AQ207" s="668"/>
      <c r="AR207" s="663"/>
      <c r="AS207" s="663"/>
      <c r="AT207" s="671"/>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4"/>
      <c r="B208" s="677"/>
      <c r="C208" s="695"/>
      <c r="D208" s="683"/>
      <c r="E208" s="521"/>
      <c r="F208" s="688"/>
      <c r="G208" s="689"/>
      <c r="H208" s="525" t="s">
        <v>635</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92"/>
      <c r="AO208" s="664"/>
      <c r="AP208" s="669"/>
      <c r="AQ208" s="670"/>
      <c r="AR208" s="664"/>
      <c r="AS208" s="664"/>
      <c r="AT208" s="671"/>
      <c r="AU208" s="527"/>
      <c r="AV208" s="527"/>
      <c r="AX208" s="527"/>
      <c r="AY208" s="527"/>
    </row>
    <row r="209" spans="1:51" s="500" customFormat="1" ht="12" customHeight="1">
      <c r="A209" s="672">
        <v>63</v>
      </c>
      <c r="B209" s="675"/>
      <c r="C209" s="693"/>
      <c r="D209" s="681" t="s">
        <v>628</v>
      </c>
      <c r="E209" s="517"/>
      <c r="F209" s="684"/>
      <c r="G209" s="685"/>
      <c r="H209" s="518" t="s">
        <v>629</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90">
        <f t="shared" ref="AN209" si="301">IF(LEFT($AN$1,6)="共同生活援助",SUM(I210:AM210),SUM(I210:AM211))</f>
        <v>0</v>
      </c>
      <c r="AO209" s="662">
        <f>IF($AN$3="４週",AN209/4,AN209/(DAY(EOMONTH($I$21,0))/7))</f>
        <v>0</v>
      </c>
      <c r="AP209" s="665"/>
      <c r="AQ209" s="666"/>
      <c r="AR209" s="662" t="str">
        <f t="shared" ref="AR209" si="302">IF($AN$3="４週",AU210,AV210)</f>
        <v/>
      </c>
      <c r="AS209" s="662"/>
      <c r="AT209" s="671" t="str">
        <f t="shared" ref="AT209" si="303">IF(AX210&lt;=1.1,"",IF(AY210&lt;=1.1,"",IF(F209="","","勤務時間"&amp;CHAR(10)&amp;"OVER")))</f>
        <v/>
      </c>
      <c r="AU209" s="520" t="s">
        <v>630</v>
      </c>
      <c r="AV209" s="520" t="s">
        <v>631</v>
      </c>
      <c r="AX209" s="520" t="s">
        <v>632</v>
      </c>
      <c r="AY209" s="520" t="s">
        <v>633</v>
      </c>
    </row>
    <row r="210" spans="1:51" s="500" customFormat="1" ht="12" customHeight="1">
      <c r="A210" s="673"/>
      <c r="B210" s="676"/>
      <c r="C210" s="694"/>
      <c r="D210" s="682"/>
      <c r="E210" s="521"/>
      <c r="F210" s="686"/>
      <c r="G210" s="687"/>
      <c r="H210" s="522" t="s">
        <v>634</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91"/>
      <c r="AO210" s="663"/>
      <c r="AP210" s="667"/>
      <c r="AQ210" s="668"/>
      <c r="AR210" s="663"/>
      <c r="AS210" s="663"/>
      <c r="AT210" s="671"/>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4"/>
      <c r="B211" s="677"/>
      <c r="C211" s="695"/>
      <c r="D211" s="683"/>
      <c r="E211" s="521"/>
      <c r="F211" s="688"/>
      <c r="G211" s="689"/>
      <c r="H211" s="525" t="s">
        <v>635</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92"/>
      <c r="AO211" s="664"/>
      <c r="AP211" s="669"/>
      <c r="AQ211" s="670"/>
      <c r="AR211" s="664"/>
      <c r="AS211" s="664"/>
      <c r="AT211" s="671"/>
      <c r="AU211" s="527"/>
      <c r="AV211" s="527"/>
      <c r="AX211" s="527"/>
      <c r="AY211" s="527"/>
    </row>
    <row r="212" spans="1:51" s="500" customFormat="1" ht="12" customHeight="1">
      <c r="A212" s="672">
        <v>64</v>
      </c>
      <c r="B212" s="675"/>
      <c r="C212" s="693"/>
      <c r="D212" s="681" t="s">
        <v>628</v>
      </c>
      <c r="E212" s="517"/>
      <c r="F212" s="684"/>
      <c r="G212" s="685"/>
      <c r="H212" s="518" t="s">
        <v>629</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90">
        <f t="shared" ref="AN212" si="306">IF(LEFT($AN$1,6)="共同生活援助",SUM(I213:AM213),SUM(I213:AM214))</f>
        <v>0</v>
      </c>
      <c r="AO212" s="662">
        <f>IF($AN$3="４週",AN212/4,AN212/(DAY(EOMONTH($I$21,0))/7))</f>
        <v>0</v>
      </c>
      <c r="AP212" s="665"/>
      <c r="AQ212" s="666"/>
      <c r="AR212" s="662" t="str">
        <f t="shared" ref="AR212" si="307">IF($AN$3="４週",AU213,AV213)</f>
        <v/>
      </c>
      <c r="AS212" s="662"/>
      <c r="AT212" s="671" t="str">
        <f t="shared" ref="AT212" si="308">IF(AX213&lt;=1.1,"",IF(AY213&lt;=1.1,"",IF(F212="","","勤務時間"&amp;CHAR(10)&amp;"OVER")))</f>
        <v/>
      </c>
      <c r="AU212" s="520" t="s">
        <v>630</v>
      </c>
      <c r="AV212" s="520" t="s">
        <v>631</v>
      </c>
      <c r="AX212" s="520" t="s">
        <v>632</v>
      </c>
      <c r="AY212" s="520" t="s">
        <v>633</v>
      </c>
    </row>
    <row r="213" spans="1:51" s="500" customFormat="1" ht="12" customHeight="1">
      <c r="A213" s="673"/>
      <c r="B213" s="676"/>
      <c r="C213" s="694"/>
      <c r="D213" s="682"/>
      <c r="E213" s="521"/>
      <c r="F213" s="686"/>
      <c r="G213" s="687"/>
      <c r="H213" s="522" t="s">
        <v>634</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91"/>
      <c r="AO213" s="663"/>
      <c r="AP213" s="667"/>
      <c r="AQ213" s="668"/>
      <c r="AR213" s="663"/>
      <c r="AS213" s="663"/>
      <c r="AT213" s="671"/>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4"/>
      <c r="B214" s="677"/>
      <c r="C214" s="695"/>
      <c r="D214" s="683"/>
      <c r="E214" s="521"/>
      <c r="F214" s="688"/>
      <c r="G214" s="689"/>
      <c r="H214" s="525" t="s">
        <v>635</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92"/>
      <c r="AO214" s="664"/>
      <c r="AP214" s="669"/>
      <c r="AQ214" s="670"/>
      <c r="AR214" s="664"/>
      <c r="AS214" s="664"/>
      <c r="AT214" s="671"/>
      <c r="AU214" s="527"/>
      <c r="AV214" s="527"/>
      <c r="AX214" s="527"/>
      <c r="AY214" s="527"/>
    </row>
    <row r="215" spans="1:51" s="500" customFormat="1" ht="12" customHeight="1">
      <c r="A215" s="672">
        <v>65</v>
      </c>
      <c r="B215" s="675"/>
      <c r="C215" s="693"/>
      <c r="D215" s="681" t="s">
        <v>628</v>
      </c>
      <c r="E215" s="517"/>
      <c r="F215" s="684"/>
      <c r="G215" s="685"/>
      <c r="H215" s="518" t="s">
        <v>629</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90">
        <f t="shared" ref="AN215" si="311">IF(LEFT($AN$1,6)="共同生活援助",SUM(I216:AM216),SUM(I216:AM217))</f>
        <v>0</v>
      </c>
      <c r="AO215" s="662">
        <f>IF($AN$3="４週",AN215/4,AN215/(DAY(EOMONTH($I$21,0))/7))</f>
        <v>0</v>
      </c>
      <c r="AP215" s="665"/>
      <c r="AQ215" s="666"/>
      <c r="AR215" s="662" t="str">
        <f t="shared" ref="AR215" si="312">IF($AN$3="４週",AU216,AV216)</f>
        <v/>
      </c>
      <c r="AS215" s="662"/>
      <c r="AT215" s="671" t="str">
        <f t="shared" ref="AT215" si="313">IF(AX216&lt;=1.1,"",IF(AY216&lt;=1.1,"",IF(F215="","","勤務時間"&amp;CHAR(10)&amp;"OVER")))</f>
        <v/>
      </c>
      <c r="AU215" s="520" t="s">
        <v>630</v>
      </c>
      <c r="AV215" s="520" t="s">
        <v>631</v>
      </c>
      <c r="AX215" s="520" t="s">
        <v>632</v>
      </c>
      <c r="AY215" s="520" t="s">
        <v>633</v>
      </c>
    </row>
    <row r="216" spans="1:51" s="500" customFormat="1" ht="12" customHeight="1">
      <c r="A216" s="673"/>
      <c r="B216" s="676"/>
      <c r="C216" s="694"/>
      <c r="D216" s="682"/>
      <c r="E216" s="521"/>
      <c r="F216" s="686"/>
      <c r="G216" s="687"/>
      <c r="H216" s="522" t="s">
        <v>634</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91"/>
      <c r="AO216" s="663"/>
      <c r="AP216" s="667"/>
      <c r="AQ216" s="668"/>
      <c r="AR216" s="663"/>
      <c r="AS216" s="663"/>
      <c r="AT216" s="671"/>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4"/>
      <c r="B217" s="677"/>
      <c r="C217" s="695"/>
      <c r="D217" s="683"/>
      <c r="E217" s="521"/>
      <c r="F217" s="688"/>
      <c r="G217" s="689"/>
      <c r="H217" s="525" t="s">
        <v>635</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92"/>
      <c r="AO217" s="664"/>
      <c r="AP217" s="669"/>
      <c r="AQ217" s="670"/>
      <c r="AR217" s="664"/>
      <c r="AS217" s="664"/>
      <c r="AT217" s="671"/>
      <c r="AU217" s="527"/>
      <c r="AV217" s="527"/>
      <c r="AX217" s="527"/>
      <c r="AY217" s="527"/>
    </row>
    <row r="218" spans="1:51" s="500" customFormat="1" ht="12" customHeight="1">
      <c r="A218" s="672">
        <v>66</v>
      </c>
      <c r="B218" s="675"/>
      <c r="C218" s="693"/>
      <c r="D218" s="681" t="s">
        <v>628</v>
      </c>
      <c r="E218" s="517"/>
      <c r="F218" s="684"/>
      <c r="G218" s="685"/>
      <c r="H218" s="518" t="s">
        <v>629</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90">
        <f t="shared" ref="AN218" si="316">IF(LEFT($AN$1,6)="共同生活援助",SUM(I219:AM219),SUM(I219:AM220))</f>
        <v>0</v>
      </c>
      <c r="AO218" s="662">
        <f>IF($AN$3="４週",AN218/4,AN218/(DAY(EOMONTH($I$21,0))/7))</f>
        <v>0</v>
      </c>
      <c r="AP218" s="665"/>
      <c r="AQ218" s="666"/>
      <c r="AR218" s="662" t="str">
        <f t="shared" ref="AR218" si="317">IF($AN$3="４週",AU219,AV219)</f>
        <v/>
      </c>
      <c r="AS218" s="662"/>
      <c r="AT218" s="671" t="str">
        <f t="shared" ref="AT218" si="318">IF(AX219&lt;=1.1,"",IF(AY219&lt;=1.1,"",IF(F218="","","勤務時間"&amp;CHAR(10)&amp;"OVER")))</f>
        <v/>
      </c>
      <c r="AU218" s="520" t="s">
        <v>630</v>
      </c>
      <c r="AV218" s="520" t="s">
        <v>631</v>
      </c>
      <c r="AX218" s="520" t="s">
        <v>632</v>
      </c>
      <c r="AY218" s="520" t="s">
        <v>633</v>
      </c>
    </row>
    <row r="219" spans="1:51" s="500" customFormat="1" ht="12" customHeight="1">
      <c r="A219" s="673"/>
      <c r="B219" s="676"/>
      <c r="C219" s="694"/>
      <c r="D219" s="682"/>
      <c r="E219" s="521"/>
      <c r="F219" s="686"/>
      <c r="G219" s="687"/>
      <c r="H219" s="522" t="s">
        <v>634</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91"/>
      <c r="AO219" s="663"/>
      <c r="AP219" s="667"/>
      <c r="AQ219" s="668"/>
      <c r="AR219" s="663"/>
      <c r="AS219" s="663"/>
      <c r="AT219" s="671"/>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4"/>
      <c r="B220" s="677"/>
      <c r="C220" s="695"/>
      <c r="D220" s="683"/>
      <c r="E220" s="521"/>
      <c r="F220" s="688"/>
      <c r="G220" s="689"/>
      <c r="H220" s="525" t="s">
        <v>635</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92"/>
      <c r="AO220" s="664"/>
      <c r="AP220" s="669"/>
      <c r="AQ220" s="670"/>
      <c r="AR220" s="664"/>
      <c r="AS220" s="664"/>
      <c r="AT220" s="671"/>
      <c r="AU220" s="527"/>
      <c r="AV220" s="527"/>
      <c r="AX220" s="527"/>
      <c r="AY220" s="527"/>
    </row>
    <row r="221" spans="1:51" s="500" customFormat="1" ht="12" customHeight="1">
      <c r="A221" s="672">
        <v>67</v>
      </c>
      <c r="B221" s="675"/>
      <c r="C221" s="693"/>
      <c r="D221" s="681" t="s">
        <v>628</v>
      </c>
      <c r="E221" s="517"/>
      <c r="F221" s="684"/>
      <c r="G221" s="685"/>
      <c r="H221" s="518" t="s">
        <v>629</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90">
        <f t="shared" ref="AN221" si="321">IF(LEFT($AN$1,6)="共同生活援助",SUM(I222:AM222),SUM(I222:AM223))</f>
        <v>0</v>
      </c>
      <c r="AO221" s="662">
        <f>IF($AN$3="４週",AN221/4,AN221/(DAY(EOMONTH($I$21,0))/7))</f>
        <v>0</v>
      </c>
      <c r="AP221" s="665"/>
      <c r="AQ221" s="666"/>
      <c r="AR221" s="662" t="str">
        <f t="shared" ref="AR221" si="322">IF($AN$3="４週",AU222,AV222)</f>
        <v/>
      </c>
      <c r="AS221" s="662"/>
      <c r="AT221" s="671" t="str">
        <f t="shared" ref="AT221" si="323">IF(AX222&lt;=1.1,"",IF(AY222&lt;=1.1,"",IF(F221="","","勤務時間"&amp;CHAR(10)&amp;"OVER")))</f>
        <v/>
      </c>
      <c r="AU221" s="520" t="s">
        <v>630</v>
      </c>
      <c r="AV221" s="520" t="s">
        <v>631</v>
      </c>
      <c r="AX221" s="520" t="s">
        <v>632</v>
      </c>
      <c r="AY221" s="520" t="s">
        <v>633</v>
      </c>
    </row>
    <row r="222" spans="1:51" s="500" customFormat="1" ht="12" customHeight="1">
      <c r="A222" s="673"/>
      <c r="B222" s="676"/>
      <c r="C222" s="694"/>
      <c r="D222" s="682"/>
      <c r="E222" s="521"/>
      <c r="F222" s="686"/>
      <c r="G222" s="687"/>
      <c r="H222" s="522" t="s">
        <v>634</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91"/>
      <c r="AO222" s="663"/>
      <c r="AP222" s="667"/>
      <c r="AQ222" s="668"/>
      <c r="AR222" s="663"/>
      <c r="AS222" s="663"/>
      <c r="AT222" s="671"/>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4"/>
      <c r="B223" s="677"/>
      <c r="C223" s="695"/>
      <c r="D223" s="683"/>
      <c r="E223" s="521"/>
      <c r="F223" s="688"/>
      <c r="G223" s="689"/>
      <c r="H223" s="525" t="s">
        <v>635</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92"/>
      <c r="AO223" s="664"/>
      <c r="AP223" s="669"/>
      <c r="AQ223" s="670"/>
      <c r="AR223" s="664"/>
      <c r="AS223" s="664"/>
      <c r="AT223" s="671"/>
      <c r="AU223" s="527"/>
      <c r="AV223" s="527"/>
      <c r="AX223" s="527"/>
      <c r="AY223" s="527"/>
    </row>
    <row r="224" spans="1:51" s="500" customFormat="1" ht="12" customHeight="1">
      <c r="A224" s="672">
        <v>68</v>
      </c>
      <c r="B224" s="675"/>
      <c r="C224" s="678"/>
      <c r="D224" s="681" t="s">
        <v>628</v>
      </c>
      <c r="E224" s="517"/>
      <c r="F224" s="684"/>
      <c r="G224" s="685"/>
      <c r="H224" s="518" t="s">
        <v>629</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90">
        <f t="shared" ref="AN224" si="326">IF(LEFT($AN$1,6)="共同生活援助",SUM(I225:AM225),SUM(I225:AM226))</f>
        <v>0</v>
      </c>
      <c r="AO224" s="662">
        <f>IF($AN$3="４週",AN224/4,AN224/(DAY(EOMONTH($I$21,0))/7))</f>
        <v>0</v>
      </c>
      <c r="AP224" s="665"/>
      <c r="AQ224" s="666"/>
      <c r="AR224" s="662" t="str">
        <f t="shared" ref="AR224" si="327">IF($AN$3="４週",AU225,AV225)</f>
        <v/>
      </c>
      <c r="AS224" s="662"/>
      <c r="AT224" s="671" t="str">
        <f t="shared" ref="AT224" si="328">IF(AX225&lt;=1.1,"",IF(AY225&lt;=1.1,"",IF(F224="","","勤務時間"&amp;CHAR(10)&amp;"OVER")))</f>
        <v/>
      </c>
      <c r="AU224" s="520" t="s">
        <v>630</v>
      </c>
      <c r="AV224" s="520" t="s">
        <v>631</v>
      </c>
      <c r="AX224" s="520" t="s">
        <v>632</v>
      </c>
      <c r="AY224" s="520" t="s">
        <v>633</v>
      </c>
    </row>
    <row r="225" spans="1:51" s="500" customFormat="1" ht="12" customHeight="1">
      <c r="A225" s="673"/>
      <c r="B225" s="676"/>
      <c r="C225" s="679"/>
      <c r="D225" s="682"/>
      <c r="E225" s="521"/>
      <c r="F225" s="686"/>
      <c r="G225" s="687"/>
      <c r="H225" s="522" t="s">
        <v>634</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91"/>
      <c r="AO225" s="663"/>
      <c r="AP225" s="667"/>
      <c r="AQ225" s="668"/>
      <c r="AR225" s="663"/>
      <c r="AS225" s="663"/>
      <c r="AT225" s="671"/>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4"/>
      <c r="B226" s="677"/>
      <c r="C226" s="680"/>
      <c r="D226" s="683"/>
      <c r="E226" s="521"/>
      <c r="F226" s="688"/>
      <c r="G226" s="689"/>
      <c r="H226" s="525" t="s">
        <v>635</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92"/>
      <c r="AO226" s="664"/>
      <c r="AP226" s="669"/>
      <c r="AQ226" s="670"/>
      <c r="AR226" s="664"/>
      <c r="AS226" s="664"/>
      <c r="AT226" s="671"/>
      <c r="AU226" s="527"/>
      <c r="AV226" s="527"/>
      <c r="AX226" s="527"/>
      <c r="AY226" s="527"/>
    </row>
    <row r="227" spans="1:51" s="500" customFormat="1" ht="12" customHeight="1">
      <c r="A227" s="672">
        <v>69</v>
      </c>
      <c r="B227" s="675"/>
      <c r="C227" s="693"/>
      <c r="D227" s="681" t="s">
        <v>628</v>
      </c>
      <c r="E227" s="517"/>
      <c r="F227" s="684"/>
      <c r="G227" s="685"/>
      <c r="H227" s="518" t="s">
        <v>629</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90">
        <f t="shared" ref="AN227" si="331">IF(LEFT($AN$1,6)="共同生活援助",SUM(I228:AM228),SUM(I228:AM229))</f>
        <v>0</v>
      </c>
      <c r="AO227" s="662">
        <f>IF($AN$3="４週",AN227/4,AN227/(DAY(EOMONTH($I$21,0))/7))</f>
        <v>0</v>
      </c>
      <c r="AP227" s="665"/>
      <c r="AQ227" s="666"/>
      <c r="AR227" s="662" t="str">
        <f t="shared" ref="AR227" si="332">IF($AN$3="４週",AU228,AV228)</f>
        <v/>
      </c>
      <c r="AS227" s="662"/>
      <c r="AT227" s="671" t="str">
        <f t="shared" ref="AT227" si="333">IF(AX228&lt;=1.1,"",IF(AY228&lt;=1.1,"",IF(F227="","","勤務時間"&amp;CHAR(10)&amp;"OVER")))</f>
        <v/>
      </c>
      <c r="AU227" s="520" t="s">
        <v>630</v>
      </c>
      <c r="AV227" s="520" t="s">
        <v>631</v>
      </c>
      <c r="AX227" s="520" t="s">
        <v>632</v>
      </c>
      <c r="AY227" s="520" t="s">
        <v>633</v>
      </c>
    </row>
    <row r="228" spans="1:51" s="500" customFormat="1" ht="12" customHeight="1">
      <c r="A228" s="673"/>
      <c r="B228" s="676"/>
      <c r="C228" s="694"/>
      <c r="D228" s="682"/>
      <c r="E228" s="521"/>
      <c r="F228" s="686"/>
      <c r="G228" s="687"/>
      <c r="H228" s="522" t="s">
        <v>634</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91"/>
      <c r="AO228" s="663"/>
      <c r="AP228" s="667"/>
      <c r="AQ228" s="668"/>
      <c r="AR228" s="663"/>
      <c r="AS228" s="663"/>
      <c r="AT228" s="671"/>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4"/>
      <c r="B229" s="677"/>
      <c r="C229" s="695"/>
      <c r="D229" s="683"/>
      <c r="E229" s="521"/>
      <c r="F229" s="688"/>
      <c r="G229" s="689"/>
      <c r="H229" s="525" t="s">
        <v>635</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92"/>
      <c r="AO229" s="664"/>
      <c r="AP229" s="669"/>
      <c r="AQ229" s="670"/>
      <c r="AR229" s="664"/>
      <c r="AS229" s="664"/>
      <c r="AT229" s="671"/>
      <c r="AU229" s="527"/>
      <c r="AV229" s="527"/>
      <c r="AX229" s="527"/>
      <c r="AY229" s="527"/>
    </row>
    <row r="230" spans="1:51" s="500" customFormat="1" ht="12" customHeight="1">
      <c r="A230" s="672">
        <v>70</v>
      </c>
      <c r="B230" s="675"/>
      <c r="C230" s="693"/>
      <c r="D230" s="681" t="s">
        <v>628</v>
      </c>
      <c r="E230" s="517"/>
      <c r="F230" s="684"/>
      <c r="G230" s="685"/>
      <c r="H230" s="518" t="s">
        <v>629</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90">
        <f t="shared" ref="AN230" si="336">IF(LEFT($AN$1,6)="共同生活援助",SUM(I231:AM231),SUM(I231:AM232))</f>
        <v>0</v>
      </c>
      <c r="AO230" s="662">
        <f>IF($AN$3="４週",AN230/4,AN230/(DAY(EOMONTH($I$21,0))/7))</f>
        <v>0</v>
      </c>
      <c r="AP230" s="665"/>
      <c r="AQ230" s="666"/>
      <c r="AR230" s="662" t="str">
        <f t="shared" ref="AR230" si="337">IF($AN$3="４週",AU231,AV231)</f>
        <v/>
      </c>
      <c r="AS230" s="662"/>
      <c r="AT230" s="671" t="str">
        <f t="shared" ref="AT230" si="338">IF(AX231&lt;=1.1,"",IF(AY231&lt;=1.1,"",IF(F230="","","勤務時間"&amp;CHAR(10)&amp;"OVER")))</f>
        <v/>
      </c>
      <c r="AU230" s="520" t="s">
        <v>630</v>
      </c>
      <c r="AV230" s="520" t="s">
        <v>631</v>
      </c>
      <c r="AX230" s="520" t="s">
        <v>632</v>
      </c>
      <c r="AY230" s="520" t="s">
        <v>633</v>
      </c>
    </row>
    <row r="231" spans="1:51" s="500" customFormat="1" ht="12" customHeight="1">
      <c r="A231" s="673"/>
      <c r="B231" s="676"/>
      <c r="C231" s="694"/>
      <c r="D231" s="682"/>
      <c r="E231" s="521"/>
      <c r="F231" s="686"/>
      <c r="G231" s="687"/>
      <c r="H231" s="522" t="s">
        <v>634</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91"/>
      <c r="AO231" s="663"/>
      <c r="AP231" s="667"/>
      <c r="AQ231" s="668"/>
      <c r="AR231" s="663"/>
      <c r="AS231" s="663"/>
      <c r="AT231" s="671"/>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4"/>
      <c r="B232" s="677"/>
      <c r="C232" s="695"/>
      <c r="D232" s="683"/>
      <c r="E232" s="521"/>
      <c r="F232" s="688"/>
      <c r="G232" s="689"/>
      <c r="H232" s="525" t="s">
        <v>635</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92"/>
      <c r="AO232" s="664"/>
      <c r="AP232" s="669"/>
      <c r="AQ232" s="670"/>
      <c r="AR232" s="664"/>
      <c r="AS232" s="664"/>
      <c r="AT232" s="671"/>
      <c r="AU232" s="527"/>
      <c r="AV232" s="527"/>
      <c r="AX232" s="527"/>
      <c r="AY232" s="527"/>
    </row>
    <row r="233" spans="1:51" s="500" customFormat="1" ht="12" customHeight="1">
      <c r="A233" s="672">
        <v>71</v>
      </c>
      <c r="B233" s="675"/>
      <c r="C233" s="693"/>
      <c r="D233" s="681" t="s">
        <v>628</v>
      </c>
      <c r="E233" s="517"/>
      <c r="F233" s="684"/>
      <c r="G233" s="685"/>
      <c r="H233" s="518" t="s">
        <v>629</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90">
        <f t="shared" ref="AN233" si="341">IF(LEFT($AN$1,6)="共同生活援助",SUM(I234:AM234),SUM(I234:AM235))</f>
        <v>0</v>
      </c>
      <c r="AO233" s="662">
        <f>IF($AN$3="４週",AN233/4,AN233/(DAY(EOMONTH($I$21,0))/7))</f>
        <v>0</v>
      </c>
      <c r="AP233" s="665"/>
      <c r="AQ233" s="666"/>
      <c r="AR233" s="662" t="str">
        <f t="shared" ref="AR233" si="342">IF($AN$3="４週",AU234,AV234)</f>
        <v/>
      </c>
      <c r="AS233" s="662"/>
      <c r="AT233" s="671" t="str">
        <f t="shared" ref="AT233" si="343">IF(AX234&lt;=1.1,"",IF(AY234&lt;=1.1,"",IF(F233="","","勤務時間"&amp;CHAR(10)&amp;"OVER")))</f>
        <v/>
      </c>
      <c r="AU233" s="520" t="s">
        <v>630</v>
      </c>
      <c r="AV233" s="520" t="s">
        <v>631</v>
      </c>
      <c r="AX233" s="520" t="s">
        <v>632</v>
      </c>
      <c r="AY233" s="520" t="s">
        <v>633</v>
      </c>
    </row>
    <row r="234" spans="1:51" s="500" customFormat="1" ht="12" customHeight="1">
      <c r="A234" s="673"/>
      <c r="B234" s="676"/>
      <c r="C234" s="694"/>
      <c r="D234" s="682"/>
      <c r="E234" s="521"/>
      <c r="F234" s="686"/>
      <c r="G234" s="687"/>
      <c r="H234" s="522" t="s">
        <v>634</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91"/>
      <c r="AO234" s="663"/>
      <c r="AP234" s="667"/>
      <c r="AQ234" s="668"/>
      <c r="AR234" s="663"/>
      <c r="AS234" s="663"/>
      <c r="AT234" s="671"/>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4"/>
      <c r="B235" s="677"/>
      <c r="C235" s="695"/>
      <c r="D235" s="683"/>
      <c r="E235" s="521"/>
      <c r="F235" s="688"/>
      <c r="G235" s="689"/>
      <c r="H235" s="525" t="s">
        <v>635</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92"/>
      <c r="AO235" s="664"/>
      <c r="AP235" s="669"/>
      <c r="AQ235" s="670"/>
      <c r="AR235" s="664"/>
      <c r="AS235" s="664"/>
      <c r="AT235" s="671"/>
      <c r="AU235" s="527"/>
      <c r="AV235" s="527"/>
      <c r="AX235" s="527"/>
      <c r="AY235" s="527"/>
    </row>
    <row r="236" spans="1:51" s="500" customFormat="1" ht="12" customHeight="1">
      <c r="A236" s="672">
        <v>72</v>
      </c>
      <c r="B236" s="675"/>
      <c r="C236" s="693"/>
      <c r="D236" s="681" t="s">
        <v>628</v>
      </c>
      <c r="E236" s="517"/>
      <c r="F236" s="684"/>
      <c r="G236" s="685"/>
      <c r="H236" s="518" t="s">
        <v>629</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90">
        <f t="shared" ref="AN236" si="346">IF(LEFT($AN$1,6)="共同生活援助",SUM(I237:AM237),SUM(I237:AM238))</f>
        <v>0</v>
      </c>
      <c r="AO236" s="662">
        <f>IF($AN$3="４週",AN236/4,AN236/(DAY(EOMONTH($I$21,0))/7))</f>
        <v>0</v>
      </c>
      <c r="AP236" s="665"/>
      <c r="AQ236" s="666"/>
      <c r="AR236" s="662" t="str">
        <f t="shared" ref="AR236" si="347">IF($AN$3="４週",AU237,AV237)</f>
        <v/>
      </c>
      <c r="AS236" s="662"/>
      <c r="AT236" s="671" t="str">
        <f t="shared" ref="AT236" si="348">IF(AX237&lt;=1.1,"",IF(AY237&lt;=1.1,"",IF(F236="","","勤務時間"&amp;CHAR(10)&amp;"OVER")))</f>
        <v/>
      </c>
      <c r="AU236" s="520" t="s">
        <v>630</v>
      </c>
      <c r="AV236" s="520" t="s">
        <v>631</v>
      </c>
      <c r="AX236" s="520" t="s">
        <v>632</v>
      </c>
      <c r="AY236" s="520" t="s">
        <v>633</v>
      </c>
    </row>
    <row r="237" spans="1:51" s="500" customFormat="1" ht="12" customHeight="1">
      <c r="A237" s="673"/>
      <c r="B237" s="676"/>
      <c r="C237" s="694"/>
      <c r="D237" s="682"/>
      <c r="E237" s="521"/>
      <c r="F237" s="686"/>
      <c r="G237" s="687"/>
      <c r="H237" s="522" t="s">
        <v>634</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91"/>
      <c r="AO237" s="663"/>
      <c r="AP237" s="667"/>
      <c r="AQ237" s="668"/>
      <c r="AR237" s="663"/>
      <c r="AS237" s="663"/>
      <c r="AT237" s="671"/>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4"/>
      <c r="B238" s="677"/>
      <c r="C238" s="695"/>
      <c r="D238" s="683"/>
      <c r="E238" s="521"/>
      <c r="F238" s="688"/>
      <c r="G238" s="689"/>
      <c r="H238" s="525" t="s">
        <v>635</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92"/>
      <c r="AO238" s="664"/>
      <c r="AP238" s="669"/>
      <c r="AQ238" s="670"/>
      <c r="AR238" s="664"/>
      <c r="AS238" s="664"/>
      <c r="AT238" s="671"/>
      <c r="AU238" s="527"/>
      <c r="AV238" s="527"/>
      <c r="AX238" s="527"/>
      <c r="AY238" s="527"/>
    </row>
    <row r="239" spans="1:51" s="500" customFormat="1" ht="12" customHeight="1">
      <c r="A239" s="672">
        <v>73</v>
      </c>
      <c r="B239" s="675"/>
      <c r="C239" s="693"/>
      <c r="D239" s="681" t="s">
        <v>628</v>
      </c>
      <c r="E239" s="517"/>
      <c r="F239" s="684"/>
      <c r="G239" s="685"/>
      <c r="H239" s="518" t="s">
        <v>629</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90">
        <f t="shared" ref="AN239" si="349">IF(LEFT($AN$1,6)="共同生活援助",SUM(I240:AM240),SUM(I240:AM241))</f>
        <v>0</v>
      </c>
      <c r="AO239" s="662">
        <f>IF($AN$3="４週",AN239/4,AN239/(DAY(EOMONTH($I$21,0))/7))</f>
        <v>0</v>
      </c>
      <c r="AP239" s="665"/>
      <c r="AQ239" s="666"/>
      <c r="AR239" s="662" t="str">
        <f t="shared" ref="AR239" si="350">IF($AN$3="４週",AU240,AV240)</f>
        <v/>
      </c>
      <c r="AS239" s="662"/>
      <c r="AT239" s="671" t="str">
        <f t="shared" ref="AT239" si="351">IF(AX240&lt;=1.1,"",IF(AY240&lt;=1.1,"",IF(F239="","","勤務時間"&amp;CHAR(10)&amp;"OVER")))</f>
        <v/>
      </c>
      <c r="AU239" s="520" t="s">
        <v>630</v>
      </c>
      <c r="AV239" s="520" t="s">
        <v>631</v>
      </c>
      <c r="AX239" s="520" t="s">
        <v>632</v>
      </c>
      <c r="AY239" s="520" t="s">
        <v>633</v>
      </c>
    </row>
    <row r="240" spans="1:51" s="500" customFormat="1" ht="12" customHeight="1">
      <c r="A240" s="673"/>
      <c r="B240" s="676"/>
      <c r="C240" s="694"/>
      <c r="D240" s="682"/>
      <c r="E240" s="521"/>
      <c r="F240" s="686"/>
      <c r="G240" s="687"/>
      <c r="H240" s="522" t="s">
        <v>634</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91"/>
      <c r="AO240" s="663"/>
      <c r="AP240" s="667"/>
      <c r="AQ240" s="668"/>
      <c r="AR240" s="663"/>
      <c r="AS240" s="663"/>
      <c r="AT240" s="671"/>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4"/>
      <c r="B241" s="677"/>
      <c r="C241" s="695"/>
      <c r="D241" s="683"/>
      <c r="E241" s="521"/>
      <c r="F241" s="688"/>
      <c r="G241" s="689"/>
      <c r="H241" s="525" t="s">
        <v>635</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92"/>
      <c r="AO241" s="664"/>
      <c r="AP241" s="669"/>
      <c r="AQ241" s="670"/>
      <c r="AR241" s="664"/>
      <c r="AS241" s="664"/>
      <c r="AT241" s="671"/>
      <c r="AU241" s="527"/>
      <c r="AV241" s="527"/>
      <c r="AX241" s="527"/>
      <c r="AY241" s="527"/>
    </row>
    <row r="242" spans="1:51" s="500" customFormat="1" ht="12" customHeight="1">
      <c r="A242" s="672">
        <v>74</v>
      </c>
      <c r="B242" s="675"/>
      <c r="C242" s="693"/>
      <c r="D242" s="681" t="s">
        <v>628</v>
      </c>
      <c r="E242" s="517"/>
      <c r="F242" s="684"/>
      <c r="G242" s="685"/>
      <c r="H242" s="518" t="s">
        <v>629</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90">
        <f t="shared" ref="AN242" si="354">IF(LEFT($AN$1,6)="共同生活援助",SUM(I243:AM243),SUM(I243:AM244))</f>
        <v>0</v>
      </c>
      <c r="AO242" s="662">
        <f>IF($AN$3="４週",AN242/4,AN242/(DAY(EOMONTH($I$21,0))/7))</f>
        <v>0</v>
      </c>
      <c r="AP242" s="665"/>
      <c r="AQ242" s="666"/>
      <c r="AR242" s="662" t="str">
        <f t="shared" ref="AR242" si="355">IF($AN$3="４週",AU243,AV243)</f>
        <v/>
      </c>
      <c r="AS242" s="662"/>
      <c r="AT242" s="671" t="str">
        <f t="shared" ref="AT242" si="356">IF(AX243&lt;=1.1,"",IF(AY243&lt;=1.1,"",IF(F242="","","勤務時間"&amp;CHAR(10)&amp;"OVER")))</f>
        <v/>
      </c>
      <c r="AU242" s="520" t="s">
        <v>630</v>
      </c>
      <c r="AV242" s="520" t="s">
        <v>631</v>
      </c>
      <c r="AX242" s="520" t="s">
        <v>632</v>
      </c>
      <c r="AY242" s="520" t="s">
        <v>633</v>
      </c>
    </row>
    <row r="243" spans="1:51" s="500" customFormat="1" ht="12" customHeight="1">
      <c r="A243" s="673"/>
      <c r="B243" s="676"/>
      <c r="C243" s="694"/>
      <c r="D243" s="682"/>
      <c r="E243" s="521"/>
      <c r="F243" s="686"/>
      <c r="G243" s="687"/>
      <c r="H243" s="522" t="s">
        <v>634</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91"/>
      <c r="AO243" s="663"/>
      <c r="AP243" s="667"/>
      <c r="AQ243" s="668"/>
      <c r="AR243" s="663"/>
      <c r="AS243" s="663"/>
      <c r="AT243" s="671"/>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4"/>
      <c r="B244" s="677"/>
      <c r="C244" s="695"/>
      <c r="D244" s="683"/>
      <c r="E244" s="521"/>
      <c r="F244" s="688"/>
      <c r="G244" s="689"/>
      <c r="H244" s="525" t="s">
        <v>635</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92"/>
      <c r="AO244" s="664"/>
      <c r="AP244" s="669"/>
      <c r="AQ244" s="670"/>
      <c r="AR244" s="664"/>
      <c r="AS244" s="664"/>
      <c r="AT244" s="671"/>
      <c r="AU244" s="527"/>
      <c r="AV244" s="527"/>
      <c r="AX244" s="527"/>
      <c r="AY244" s="527"/>
    </row>
    <row r="245" spans="1:51" s="500" customFormat="1" ht="12" customHeight="1">
      <c r="A245" s="672">
        <v>75</v>
      </c>
      <c r="B245" s="675"/>
      <c r="C245" s="693"/>
      <c r="D245" s="681" t="s">
        <v>628</v>
      </c>
      <c r="E245" s="517"/>
      <c r="F245" s="684"/>
      <c r="G245" s="685"/>
      <c r="H245" s="518" t="s">
        <v>629</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90">
        <f t="shared" ref="AN245" si="359">IF(LEFT($AN$1,6)="共同生活援助",SUM(I246:AM246),SUM(I246:AM247))</f>
        <v>0</v>
      </c>
      <c r="AO245" s="662">
        <f>IF($AN$3="４週",AN245/4,AN245/(DAY(EOMONTH($I$21,0))/7))</f>
        <v>0</v>
      </c>
      <c r="AP245" s="665"/>
      <c r="AQ245" s="666"/>
      <c r="AR245" s="662" t="str">
        <f t="shared" ref="AR245" si="360">IF($AN$3="４週",AU246,AV246)</f>
        <v/>
      </c>
      <c r="AS245" s="662"/>
      <c r="AT245" s="671" t="str">
        <f t="shared" ref="AT245" si="361">IF(AX246&lt;=1.1,"",IF(AY246&lt;=1.1,"",IF(F245="","","勤務時間"&amp;CHAR(10)&amp;"OVER")))</f>
        <v/>
      </c>
      <c r="AU245" s="520" t="s">
        <v>630</v>
      </c>
      <c r="AV245" s="520" t="s">
        <v>631</v>
      </c>
      <c r="AX245" s="520" t="s">
        <v>632</v>
      </c>
      <c r="AY245" s="520" t="s">
        <v>633</v>
      </c>
    </row>
    <row r="246" spans="1:51" s="500" customFormat="1" ht="12" customHeight="1">
      <c r="A246" s="673"/>
      <c r="B246" s="676"/>
      <c r="C246" s="694"/>
      <c r="D246" s="682"/>
      <c r="E246" s="521"/>
      <c r="F246" s="686"/>
      <c r="G246" s="687"/>
      <c r="H246" s="522" t="s">
        <v>634</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91"/>
      <c r="AO246" s="663"/>
      <c r="AP246" s="667"/>
      <c r="AQ246" s="668"/>
      <c r="AR246" s="663"/>
      <c r="AS246" s="663"/>
      <c r="AT246" s="671"/>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4"/>
      <c r="B247" s="677"/>
      <c r="C247" s="695"/>
      <c r="D247" s="683"/>
      <c r="E247" s="521"/>
      <c r="F247" s="688"/>
      <c r="G247" s="689"/>
      <c r="H247" s="525" t="s">
        <v>635</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92"/>
      <c r="AO247" s="664"/>
      <c r="AP247" s="669"/>
      <c r="AQ247" s="670"/>
      <c r="AR247" s="664"/>
      <c r="AS247" s="664"/>
      <c r="AT247" s="671"/>
      <c r="AU247" s="527"/>
      <c r="AV247" s="527"/>
      <c r="AX247" s="527"/>
      <c r="AY247" s="527"/>
    </row>
    <row r="248" spans="1:51" s="500" customFormat="1" ht="12" customHeight="1">
      <c r="A248" s="672">
        <v>76</v>
      </c>
      <c r="B248" s="675"/>
      <c r="C248" s="693"/>
      <c r="D248" s="681" t="s">
        <v>628</v>
      </c>
      <c r="E248" s="517"/>
      <c r="F248" s="684"/>
      <c r="G248" s="685"/>
      <c r="H248" s="518" t="s">
        <v>629</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90">
        <f t="shared" ref="AN248" si="364">IF(LEFT($AN$1,6)="共同生活援助",SUM(I249:AM249),SUM(I249:AM250))</f>
        <v>0</v>
      </c>
      <c r="AO248" s="662">
        <f>IF($AN$3="４週",AN248/4,AN248/(DAY(EOMONTH($I$21,0))/7))</f>
        <v>0</v>
      </c>
      <c r="AP248" s="665"/>
      <c r="AQ248" s="666"/>
      <c r="AR248" s="662" t="str">
        <f t="shared" ref="AR248" si="365">IF($AN$3="４週",AU249,AV249)</f>
        <v/>
      </c>
      <c r="AS248" s="662"/>
      <c r="AT248" s="671" t="str">
        <f t="shared" ref="AT248" si="366">IF(AX249&lt;=1.1,"",IF(AY249&lt;=1.1,"",IF(F248="","","勤務時間"&amp;CHAR(10)&amp;"OVER")))</f>
        <v/>
      </c>
      <c r="AU248" s="520" t="s">
        <v>630</v>
      </c>
      <c r="AV248" s="520" t="s">
        <v>631</v>
      </c>
      <c r="AX248" s="520" t="s">
        <v>632</v>
      </c>
      <c r="AY248" s="520" t="s">
        <v>633</v>
      </c>
    </row>
    <row r="249" spans="1:51" s="500" customFormat="1" ht="12" customHeight="1">
      <c r="A249" s="673"/>
      <c r="B249" s="676"/>
      <c r="C249" s="694"/>
      <c r="D249" s="682"/>
      <c r="E249" s="521"/>
      <c r="F249" s="686"/>
      <c r="G249" s="687"/>
      <c r="H249" s="522" t="s">
        <v>634</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91"/>
      <c r="AO249" s="663"/>
      <c r="AP249" s="667"/>
      <c r="AQ249" s="668"/>
      <c r="AR249" s="663"/>
      <c r="AS249" s="663"/>
      <c r="AT249" s="671"/>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4"/>
      <c r="B250" s="677"/>
      <c r="C250" s="695"/>
      <c r="D250" s="683"/>
      <c r="E250" s="521"/>
      <c r="F250" s="688"/>
      <c r="G250" s="689"/>
      <c r="H250" s="525" t="s">
        <v>635</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92"/>
      <c r="AO250" s="664"/>
      <c r="AP250" s="669"/>
      <c r="AQ250" s="670"/>
      <c r="AR250" s="664"/>
      <c r="AS250" s="664"/>
      <c r="AT250" s="671"/>
      <c r="AU250" s="527"/>
      <c r="AV250" s="527"/>
      <c r="AX250" s="527"/>
      <c r="AY250" s="527"/>
    </row>
    <row r="251" spans="1:51" s="500" customFormat="1" ht="12" customHeight="1">
      <c r="A251" s="672">
        <v>77</v>
      </c>
      <c r="B251" s="675"/>
      <c r="C251" s="693"/>
      <c r="D251" s="681" t="s">
        <v>628</v>
      </c>
      <c r="E251" s="517"/>
      <c r="F251" s="684"/>
      <c r="G251" s="685"/>
      <c r="H251" s="518" t="s">
        <v>629</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90">
        <f t="shared" ref="AN251" si="369">IF(LEFT($AN$1,6)="共同生活援助",SUM(I252:AM252),SUM(I252:AM253))</f>
        <v>0</v>
      </c>
      <c r="AO251" s="662">
        <f>IF($AN$3="４週",AN251/4,AN251/(DAY(EOMONTH($I$21,0))/7))</f>
        <v>0</v>
      </c>
      <c r="AP251" s="665"/>
      <c r="AQ251" s="666"/>
      <c r="AR251" s="662" t="str">
        <f t="shared" ref="AR251" si="370">IF($AN$3="４週",AU252,AV252)</f>
        <v/>
      </c>
      <c r="AS251" s="662"/>
      <c r="AT251" s="671" t="str">
        <f t="shared" ref="AT251" si="371">IF(AX252&lt;=1.1,"",IF(AY252&lt;=1.1,"",IF(F251="","","勤務時間"&amp;CHAR(10)&amp;"OVER")))</f>
        <v/>
      </c>
      <c r="AU251" s="520" t="s">
        <v>630</v>
      </c>
      <c r="AV251" s="520" t="s">
        <v>631</v>
      </c>
      <c r="AX251" s="520" t="s">
        <v>632</v>
      </c>
      <c r="AY251" s="520" t="s">
        <v>633</v>
      </c>
    </row>
    <row r="252" spans="1:51" s="500" customFormat="1" ht="12" customHeight="1">
      <c r="A252" s="673"/>
      <c r="B252" s="676"/>
      <c r="C252" s="694"/>
      <c r="D252" s="682"/>
      <c r="E252" s="521"/>
      <c r="F252" s="686"/>
      <c r="G252" s="687"/>
      <c r="H252" s="522" t="s">
        <v>634</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91"/>
      <c r="AO252" s="663"/>
      <c r="AP252" s="667"/>
      <c r="AQ252" s="668"/>
      <c r="AR252" s="663"/>
      <c r="AS252" s="663"/>
      <c r="AT252" s="671"/>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4"/>
      <c r="B253" s="677"/>
      <c r="C253" s="695"/>
      <c r="D253" s="683"/>
      <c r="E253" s="521"/>
      <c r="F253" s="688"/>
      <c r="G253" s="689"/>
      <c r="H253" s="525" t="s">
        <v>635</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92"/>
      <c r="AO253" s="664"/>
      <c r="AP253" s="669"/>
      <c r="AQ253" s="670"/>
      <c r="AR253" s="664"/>
      <c r="AS253" s="664"/>
      <c r="AT253" s="671"/>
      <c r="AU253" s="527"/>
      <c r="AV253" s="527"/>
      <c r="AX253" s="527"/>
      <c r="AY253" s="527"/>
    </row>
    <row r="254" spans="1:51" s="500" customFormat="1" ht="12" customHeight="1">
      <c r="A254" s="672">
        <v>78</v>
      </c>
      <c r="B254" s="675"/>
      <c r="C254" s="693"/>
      <c r="D254" s="681" t="s">
        <v>628</v>
      </c>
      <c r="E254" s="517"/>
      <c r="F254" s="684"/>
      <c r="G254" s="685"/>
      <c r="H254" s="518" t="s">
        <v>629</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90">
        <f t="shared" ref="AN254" si="374">IF(LEFT($AN$1,6)="共同生活援助",SUM(I255:AM255),SUM(I255:AM256))</f>
        <v>0</v>
      </c>
      <c r="AO254" s="662">
        <f>IF($AN$3="４週",AN254/4,AN254/(DAY(EOMONTH($I$21,0))/7))</f>
        <v>0</v>
      </c>
      <c r="AP254" s="665"/>
      <c r="AQ254" s="666"/>
      <c r="AR254" s="662" t="str">
        <f t="shared" ref="AR254" si="375">IF($AN$3="４週",AU255,AV255)</f>
        <v/>
      </c>
      <c r="AS254" s="662"/>
      <c r="AT254" s="671" t="str">
        <f t="shared" ref="AT254" si="376">IF(AX255&lt;=1.1,"",IF(AY255&lt;=1.1,"",IF(F254="","","勤務時間"&amp;CHAR(10)&amp;"OVER")))</f>
        <v/>
      </c>
      <c r="AU254" s="520" t="s">
        <v>630</v>
      </c>
      <c r="AV254" s="520" t="s">
        <v>631</v>
      </c>
      <c r="AX254" s="520" t="s">
        <v>632</v>
      </c>
      <c r="AY254" s="520" t="s">
        <v>633</v>
      </c>
    </row>
    <row r="255" spans="1:51" s="500" customFormat="1" ht="12" customHeight="1">
      <c r="A255" s="673"/>
      <c r="B255" s="676"/>
      <c r="C255" s="694"/>
      <c r="D255" s="682"/>
      <c r="E255" s="521"/>
      <c r="F255" s="686"/>
      <c r="G255" s="687"/>
      <c r="H255" s="522" t="s">
        <v>634</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91"/>
      <c r="AO255" s="663"/>
      <c r="AP255" s="667"/>
      <c r="AQ255" s="668"/>
      <c r="AR255" s="663"/>
      <c r="AS255" s="663"/>
      <c r="AT255" s="671"/>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4"/>
      <c r="B256" s="677"/>
      <c r="C256" s="695"/>
      <c r="D256" s="683"/>
      <c r="E256" s="521"/>
      <c r="F256" s="688"/>
      <c r="G256" s="689"/>
      <c r="H256" s="525" t="s">
        <v>635</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92"/>
      <c r="AO256" s="664"/>
      <c r="AP256" s="669"/>
      <c r="AQ256" s="670"/>
      <c r="AR256" s="664"/>
      <c r="AS256" s="664"/>
      <c r="AT256" s="671"/>
      <c r="AU256" s="527"/>
      <c r="AV256" s="527"/>
      <c r="AX256" s="527"/>
      <c r="AY256" s="527"/>
    </row>
    <row r="257" spans="1:51" s="500" customFormat="1" ht="12" customHeight="1">
      <c r="A257" s="672">
        <v>79</v>
      </c>
      <c r="B257" s="675"/>
      <c r="C257" s="693"/>
      <c r="D257" s="681" t="s">
        <v>628</v>
      </c>
      <c r="E257" s="517"/>
      <c r="F257" s="684"/>
      <c r="G257" s="685"/>
      <c r="H257" s="518" t="s">
        <v>629</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90">
        <f t="shared" ref="AN257" si="379">IF(LEFT($AN$1,6)="共同生活援助",SUM(I258:AM258),SUM(I258:AM259))</f>
        <v>0</v>
      </c>
      <c r="AO257" s="662">
        <f>IF($AN$3="４週",AN257/4,AN257/(DAY(EOMONTH($I$21,0))/7))</f>
        <v>0</v>
      </c>
      <c r="AP257" s="665"/>
      <c r="AQ257" s="666"/>
      <c r="AR257" s="662" t="str">
        <f t="shared" ref="AR257" si="380">IF($AN$3="４週",AU258,AV258)</f>
        <v/>
      </c>
      <c r="AS257" s="662"/>
      <c r="AT257" s="671" t="str">
        <f t="shared" ref="AT257" si="381">IF(AX258&lt;=1.1,"",IF(AY258&lt;=1.1,"",IF(F257="","","勤務時間"&amp;CHAR(10)&amp;"OVER")))</f>
        <v/>
      </c>
      <c r="AU257" s="520" t="s">
        <v>630</v>
      </c>
      <c r="AV257" s="520" t="s">
        <v>631</v>
      </c>
      <c r="AX257" s="520" t="s">
        <v>632</v>
      </c>
      <c r="AY257" s="520" t="s">
        <v>633</v>
      </c>
    </row>
    <row r="258" spans="1:51" s="500" customFormat="1" ht="12" customHeight="1">
      <c r="A258" s="673"/>
      <c r="B258" s="676"/>
      <c r="C258" s="694"/>
      <c r="D258" s="682"/>
      <c r="E258" s="521"/>
      <c r="F258" s="686"/>
      <c r="G258" s="687"/>
      <c r="H258" s="522" t="s">
        <v>634</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91"/>
      <c r="AO258" s="663"/>
      <c r="AP258" s="667"/>
      <c r="AQ258" s="668"/>
      <c r="AR258" s="663"/>
      <c r="AS258" s="663"/>
      <c r="AT258" s="671"/>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4"/>
      <c r="B259" s="677"/>
      <c r="C259" s="695"/>
      <c r="D259" s="683"/>
      <c r="E259" s="521"/>
      <c r="F259" s="688"/>
      <c r="G259" s="689"/>
      <c r="H259" s="525" t="s">
        <v>635</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92"/>
      <c r="AO259" s="664"/>
      <c r="AP259" s="669"/>
      <c r="AQ259" s="670"/>
      <c r="AR259" s="664"/>
      <c r="AS259" s="664"/>
      <c r="AT259" s="671"/>
      <c r="AU259" s="527"/>
      <c r="AV259" s="527"/>
      <c r="AX259" s="527"/>
      <c r="AY259" s="527"/>
    </row>
    <row r="260" spans="1:51" s="500" customFormat="1" ht="12" customHeight="1">
      <c r="A260" s="672">
        <v>80</v>
      </c>
      <c r="B260" s="675"/>
      <c r="C260" s="693"/>
      <c r="D260" s="681" t="s">
        <v>628</v>
      </c>
      <c r="E260" s="517"/>
      <c r="F260" s="684"/>
      <c r="G260" s="685"/>
      <c r="H260" s="518" t="s">
        <v>629</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90">
        <f t="shared" ref="AN260" si="384">IF(LEFT($AN$1,6)="共同生活援助",SUM(I261:AM261),SUM(I261:AM262))</f>
        <v>0</v>
      </c>
      <c r="AO260" s="662">
        <f>IF($AN$3="４週",AN260/4,AN260/(DAY(EOMONTH($I$21,0))/7))</f>
        <v>0</v>
      </c>
      <c r="AP260" s="665"/>
      <c r="AQ260" s="666"/>
      <c r="AR260" s="662" t="str">
        <f t="shared" ref="AR260" si="385">IF($AN$3="４週",AU261,AV261)</f>
        <v/>
      </c>
      <c r="AS260" s="662"/>
      <c r="AT260" s="671" t="str">
        <f t="shared" ref="AT260" si="386">IF(AX261&lt;=1.1,"",IF(AY261&lt;=1.1,"",IF(F260="","","勤務時間"&amp;CHAR(10)&amp;"OVER")))</f>
        <v/>
      </c>
      <c r="AU260" s="520" t="s">
        <v>630</v>
      </c>
      <c r="AV260" s="520" t="s">
        <v>631</v>
      </c>
      <c r="AX260" s="520" t="s">
        <v>632</v>
      </c>
      <c r="AY260" s="520" t="s">
        <v>633</v>
      </c>
    </row>
    <row r="261" spans="1:51" s="500" customFormat="1" ht="12" customHeight="1">
      <c r="A261" s="673"/>
      <c r="B261" s="676"/>
      <c r="C261" s="694"/>
      <c r="D261" s="682"/>
      <c r="E261" s="521"/>
      <c r="F261" s="686"/>
      <c r="G261" s="687"/>
      <c r="H261" s="522" t="s">
        <v>634</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91"/>
      <c r="AO261" s="663"/>
      <c r="AP261" s="667"/>
      <c r="AQ261" s="668"/>
      <c r="AR261" s="663"/>
      <c r="AS261" s="663"/>
      <c r="AT261" s="671"/>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4"/>
      <c r="B262" s="677"/>
      <c r="C262" s="695"/>
      <c r="D262" s="683"/>
      <c r="E262" s="521"/>
      <c r="F262" s="688"/>
      <c r="G262" s="689"/>
      <c r="H262" s="525" t="s">
        <v>635</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92"/>
      <c r="AO262" s="664"/>
      <c r="AP262" s="669"/>
      <c r="AQ262" s="670"/>
      <c r="AR262" s="664"/>
      <c r="AS262" s="664"/>
      <c r="AT262" s="671"/>
      <c r="AU262" s="527"/>
      <c r="AV262" s="527"/>
      <c r="AX262" s="527"/>
      <c r="AY262" s="527"/>
    </row>
    <row r="263" spans="1:51" s="500" customFormat="1" ht="12" customHeight="1">
      <c r="A263" s="672">
        <v>81</v>
      </c>
      <c r="B263" s="675"/>
      <c r="C263" s="693"/>
      <c r="D263" s="681" t="s">
        <v>628</v>
      </c>
      <c r="E263" s="517"/>
      <c r="F263" s="684"/>
      <c r="G263" s="685"/>
      <c r="H263" s="518" t="s">
        <v>629</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90">
        <f t="shared" ref="AN263" si="389">IF(LEFT($AN$1,6)="共同生活援助",SUM(I264:AM264),SUM(I264:AM265))</f>
        <v>0</v>
      </c>
      <c r="AO263" s="662">
        <f>IF($AN$3="４週",AN263/4,AN263/(DAY(EOMONTH($I$21,0))/7))</f>
        <v>0</v>
      </c>
      <c r="AP263" s="665"/>
      <c r="AQ263" s="666"/>
      <c r="AR263" s="662" t="str">
        <f t="shared" ref="AR263" si="390">IF($AN$3="４週",AU264,AV264)</f>
        <v/>
      </c>
      <c r="AS263" s="662"/>
      <c r="AT263" s="671" t="str">
        <f t="shared" ref="AT263" si="391">IF(AX264&lt;=1.1,"",IF(AY264&lt;=1.1,"",IF(F263="","","勤務時間"&amp;CHAR(10)&amp;"OVER")))</f>
        <v/>
      </c>
      <c r="AU263" s="520" t="s">
        <v>630</v>
      </c>
      <c r="AV263" s="520" t="s">
        <v>631</v>
      </c>
      <c r="AX263" s="520" t="s">
        <v>632</v>
      </c>
      <c r="AY263" s="520" t="s">
        <v>633</v>
      </c>
    </row>
    <row r="264" spans="1:51" s="500" customFormat="1" ht="12" customHeight="1">
      <c r="A264" s="673"/>
      <c r="B264" s="676"/>
      <c r="C264" s="694"/>
      <c r="D264" s="682"/>
      <c r="E264" s="521"/>
      <c r="F264" s="686"/>
      <c r="G264" s="687"/>
      <c r="H264" s="522" t="s">
        <v>634</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91"/>
      <c r="AO264" s="663"/>
      <c r="AP264" s="667"/>
      <c r="AQ264" s="668"/>
      <c r="AR264" s="663"/>
      <c r="AS264" s="663"/>
      <c r="AT264" s="671"/>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4"/>
      <c r="B265" s="677"/>
      <c r="C265" s="695"/>
      <c r="D265" s="683"/>
      <c r="E265" s="521"/>
      <c r="F265" s="688"/>
      <c r="G265" s="689"/>
      <c r="H265" s="525" t="s">
        <v>635</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92"/>
      <c r="AO265" s="664"/>
      <c r="AP265" s="669"/>
      <c r="AQ265" s="670"/>
      <c r="AR265" s="664"/>
      <c r="AS265" s="664"/>
      <c r="AT265" s="671"/>
      <c r="AU265" s="527"/>
      <c r="AV265" s="527"/>
      <c r="AX265" s="527"/>
      <c r="AY265" s="527"/>
    </row>
    <row r="266" spans="1:51" s="500" customFormat="1" ht="12" customHeight="1">
      <c r="A266" s="672">
        <v>82</v>
      </c>
      <c r="B266" s="675"/>
      <c r="C266" s="693"/>
      <c r="D266" s="681" t="s">
        <v>628</v>
      </c>
      <c r="E266" s="517"/>
      <c r="F266" s="684"/>
      <c r="G266" s="685"/>
      <c r="H266" s="518" t="s">
        <v>629</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90">
        <f t="shared" ref="AN266" si="394">IF(LEFT($AN$1,6)="共同生活援助",SUM(I267:AM267),SUM(I267:AM268))</f>
        <v>0</v>
      </c>
      <c r="AO266" s="662">
        <f>IF($AN$3="４週",AN266/4,AN266/(DAY(EOMONTH($I$21,0))/7))</f>
        <v>0</v>
      </c>
      <c r="AP266" s="665"/>
      <c r="AQ266" s="666"/>
      <c r="AR266" s="662" t="str">
        <f t="shared" ref="AR266" si="395">IF($AN$3="４週",AU267,AV267)</f>
        <v/>
      </c>
      <c r="AS266" s="662"/>
      <c r="AT266" s="671" t="str">
        <f t="shared" ref="AT266" si="396">IF(AX267&lt;=1.1,"",IF(AY267&lt;=1.1,"",IF(F266="","","勤務時間"&amp;CHAR(10)&amp;"OVER")))</f>
        <v/>
      </c>
      <c r="AU266" s="520" t="s">
        <v>630</v>
      </c>
      <c r="AV266" s="520" t="s">
        <v>631</v>
      </c>
      <c r="AX266" s="520" t="s">
        <v>632</v>
      </c>
      <c r="AY266" s="520" t="s">
        <v>633</v>
      </c>
    </row>
    <row r="267" spans="1:51" s="500" customFormat="1" ht="12" customHeight="1">
      <c r="A267" s="673"/>
      <c r="B267" s="676"/>
      <c r="C267" s="694"/>
      <c r="D267" s="682"/>
      <c r="E267" s="521"/>
      <c r="F267" s="686"/>
      <c r="G267" s="687"/>
      <c r="H267" s="522" t="s">
        <v>634</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91"/>
      <c r="AO267" s="663"/>
      <c r="AP267" s="667"/>
      <c r="AQ267" s="668"/>
      <c r="AR267" s="663"/>
      <c r="AS267" s="663"/>
      <c r="AT267" s="671"/>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4"/>
      <c r="B268" s="677"/>
      <c r="C268" s="695"/>
      <c r="D268" s="683"/>
      <c r="E268" s="521"/>
      <c r="F268" s="688"/>
      <c r="G268" s="689"/>
      <c r="H268" s="525" t="s">
        <v>635</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92"/>
      <c r="AO268" s="664"/>
      <c r="AP268" s="669"/>
      <c r="AQ268" s="670"/>
      <c r="AR268" s="664"/>
      <c r="AS268" s="664"/>
      <c r="AT268" s="671"/>
      <c r="AU268" s="527"/>
      <c r="AV268" s="527"/>
      <c r="AX268" s="527"/>
      <c r="AY268" s="527"/>
    </row>
    <row r="269" spans="1:51" s="500" customFormat="1" ht="12" customHeight="1">
      <c r="A269" s="672">
        <v>83</v>
      </c>
      <c r="B269" s="675"/>
      <c r="C269" s="693"/>
      <c r="D269" s="681" t="s">
        <v>628</v>
      </c>
      <c r="E269" s="517"/>
      <c r="F269" s="684"/>
      <c r="G269" s="685"/>
      <c r="H269" s="518" t="s">
        <v>629</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90">
        <f t="shared" ref="AN269" si="399">IF(LEFT($AN$1,6)="共同生活援助",SUM(I270:AM270),SUM(I270:AM271))</f>
        <v>0</v>
      </c>
      <c r="AO269" s="662">
        <f>IF($AN$3="４週",AN269/4,AN269/(DAY(EOMONTH($I$21,0))/7))</f>
        <v>0</v>
      </c>
      <c r="AP269" s="665"/>
      <c r="AQ269" s="666"/>
      <c r="AR269" s="662" t="str">
        <f t="shared" ref="AR269" si="400">IF($AN$3="４週",AU270,AV270)</f>
        <v/>
      </c>
      <c r="AS269" s="662"/>
      <c r="AT269" s="671" t="str">
        <f t="shared" ref="AT269" si="401">IF(AX270&lt;=1.1,"",IF(AY270&lt;=1.1,"",IF(F269="","","勤務時間"&amp;CHAR(10)&amp;"OVER")))</f>
        <v/>
      </c>
      <c r="AU269" s="520" t="s">
        <v>630</v>
      </c>
      <c r="AV269" s="520" t="s">
        <v>631</v>
      </c>
      <c r="AX269" s="520" t="s">
        <v>632</v>
      </c>
      <c r="AY269" s="520" t="s">
        <v>633</v>
      </c>
    </row>
    <row r="270" spans="1:51" s="500" customFormat="1" ht="12" customHeight="1">
      <c r="A270" s="673"/>
      <c r="B270" s="676"/>
      <c r="C270" s="694"/>
      <c r="D270" s="682"/>
      <c r="E270" s="521"/>
      <c r="F270" s="686"/>
      <c r="G270" s="687"/>
      <c r="H270" s="522" t="s">
        <v>634</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91"/>
      <c r="AO270" s="663"/>
      <c r="AP270" s="667"/>
      <c r="AQ270" s="668"/>
      <c r="AR270" s="663"/>
      <c r="AS270" s="663"/>
      <c r="AT270" s="671"/>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4"/>
      <c r="B271" s="677"/>
      <c r="C271" s="695"/>
      <c r="D271" s="683"/>
      <c r="E271" s="521"/>
      <c r="F271" s="688"/>
      <c r="G271" s="689"/>
      <c r="H271" s="525" t="s">
        <v>635</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92"/>
      <c r="AO271" s="664"/>
      <c r="AP271" s="669"/>
      <c r="AQ271" s="670"/>
      <c r="AR271" s="664"/>
      <c r="AS271" s="664"/>
      <c r="AT271" s="671"/>
      <c r="AU271" s="527"/>
      <c r="AV271" s="527"/>
      <c r="AX271" s="527"/>
      <c r="AY271" s="527"/>
    </row>
    <row r="272" spans="1:51" s="500" customFormat="1" ht="12" customHeight="1">
      <c r="A272" s="672">
        <v>84</v>
      </c>
      <c r="B272" s="675"/>
      <c r="C272" s="693"/>
      <c r="D272" s="681" t="s">
        <v>628</v>
      </c>
      <c r="E272" s="517"/>
      <c r="F272" s="684"/>
      <c r="G272" s="685"/>
      <c r="H272" s="518" t="s">
        <v>629</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90">
        <f t="shared" ref="AN272" si="404">IF(LEFT($AN$1,6)="共同生活援助",SUM(I273:AM273),SUM(I273:AM274))</f>
        <v>0</v>
      </c>
      <c r="AO272" s="662">
        <f>IF($AN$3="４週",AN272/4,AN272/(DAY(EOMONTH($I$21,0))/7))</f>
        <v>0</v>
      </c>
      <c r="AP272" s="665"/>
      <c r="AQ272" s="666"/>
      <c r="AR272" s="662" t="str">
        <f t="shared" ref="AR272" si="405">IF($AN$3="４週",AU273,AV273)</f>
        <v/>
      </c>
      <c r="AS272" s="662"/>
      <c r="AT272" s="671" t="str">
        <f t="shared" ref="AT272" si="406">IF(AX273&lt;=1.1,"",IF(AY273&lt;=1.1,"",IF(F272="","","勤務時間"&amp;CHAR(10)&amp;"OVER")))</f>
        <v/>
      </c>
      <c r="AU272" s="520" t="s">
        <v>630</v>
      </c>
      <c r="AV272" s="520" t="s">
        <v>631</v>
      </c>
      <c r="AX272" s="520" t="s">
        <v>632</v>
      </c>
      <c r="AY272" s="520" t="s">
        <v>633</v>
      </c>
    </row>
    <row r="273" spans="1:51" s="500" customFormat="1" ht="12" customHeight="1">
      <c r="A273" s="673"/>
      <c r="B273" s="676"/>
      <c r="C273" s="694"/>
      <c r="D273" s="682"/>
      <c r="E273" s="521"/>
      <c r="F273" s="686"/>
      <c r="G273" s="687"/>
      <c r="H273" s="522" t="s">
        <v>634</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91"/>
      <c r="AO273" s="663"/>
      <c r="AP273" s="667"/>
      <c r="AQ273" s="668"/>
      <c r="AR273" s="663"/>
      <c r="AS273" s="663"/>
      <c r="AT273" s="671"/>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4"/>
      <c r="B274" s="677"/>
      <c r="C274" s="695"/>
      <c r="D274" s="683"/>
      <c r="E274" s="521"/>
      <c r="F274" s="688"/>
      <c r="G274" s="689"/>
      <c r="H274" s="525" t="s">
        <v>635</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92"/>
      <c r="AO274" s="664"/>
      <c r="AP274" s="669"/>
      <c r="AQ274" s="670"/>
      <c r="AR274" s="664"/>
      <c r="AS274" s="664"/>
      <c r="AT274" s="671"/>
      <c r="AU274" s="527"/>
      <c r="AV274" s="527"/>
      <c r="AX274" s="527"/>
      <c r="AY274" s="527"/>
    </row>
    <row r="275" spans="1:51" s="500" customFormat="1" ht="12" customHeight="1">
      <c r="A275" s="672">
        <v>85</v>
      </c>
      <c r="B275" s="675"/>
      <c r="C275" s="693"/>
      <c r="D275" s="681" t="s">
        <v>628</v>
      </c>
      <c r="E275" s="517"/>
      <c r="F275" s="684"/>
      <c r="G275" s="685"/>
      <c r="H275" s="518" t="s">
        <v>629</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90">
        <f t="shared" ref="AN275" si="409">IF(LEFT($AN$1,6)="共同生活援助",SUM(I276:AM276),SUM(I276:AM277))</f>
        <v>0</v>
      </c>
      <c r="AO275" s="662">
        <f>IF($AN$3="４週",AN275/4,AN275/(DAY(EOMONTH($I$21,0))/7))</f>
        <v>0</v>
      </c>
      <c r="AP275" s="665"/>
      <c r="AQ275" s="666"/>
      <c r="AR275" s="662" t="str">
        <f t="shared" ref="AR275" si="410">IF($AN$3="４週",AU276,AV276)</f>
        <v/>
      </c>
      <c r="AS275" s="662"/>
      <c r="AT275" s="671" t="str">
        <f t="shared" ref="AT275" si="411">IF(AX276&lt;=1.1,"",IF(AY276&lt;=1.1,"",IF(F275="","","勤務時間"&amp;CHAR(10)&amp;"OVER")))</f>
        <v/>
      </c>
      <c r="AU275" s="520" t="s">
        <v>630</v>
      </c>
      <c r="AV275" s="520" t="s">
        <v>631</v>
      </c>
      <c r="AX275" s="520" t="s">
        <v>632</v>
      </c>
      <c r="AY275" s="520" t="s">
        <v>633</v>
      </c>
    </row>
    <row r="276" spans="1:51" s="500" customFormat="1" ht="12" customHeight="1">
      <c r="A276" s="673"/>
      <c r="B276" s="676"/>
      <c r="C276" s="694"/>
      <c r="D276" s="682"/>
      <c r="E276" s="521"/>
      <c r="F276" s="686"/>
      <c r="G276" s="687"/>
      <c r="H276" s="522" t="s">
        <v>634</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91"/>
      <c r="AO276" s="663"/>
      <c r="AP276" s="667"/>
      <c r="AQ276" s="668"/>
      <c r="AR276" s="663"/>
      <c r="AS276" s="663"/>
      <c r="AT276" s="671"/>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4"/>
      <c r="B277" s="677"/>
      <c r="C277" s="695"/>
      <c r="D277" s="683"/>
      <c r="E277" s="521"/>
      <c r="F277" s="688"/>
      <c r="G277" s="689"/>
      <c r="H277" s="525" t="s">
        <v>635</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92"/>
      <c r="AO277" s="664"/>
      <c r="AP277" s="669"/>
      <c r="AQ277" s="670"/>
      <c r="AR277" s="664"/>
      <c r="AS277" s="664"/>
      <c r="AT277" s="671"/>
      <c r="AU277" s="527"/>
      <c r="AV277" s="527"/>
      <c r="AX277" s="527"/>
      <c r="AY277" s="527"/>
    </row>
    <row r="278" spans="1:51" s="500" customFormat="1" ht="12" customHeight="1">
      <c r="A278" s="672">
        <v>86</v>
      </c>
      <c r="B278" s="675"/>
      <c r="C278" s="693"/>
      <c r="D278" s="681" t="s">
        <v>628</v>
      </c>
      <c r="E278" s="517"/>
      <c r="F278" s="684"/>
      <c r="G278" s="685"/>
      <c r="H278" s="518" t="s">
        <v>629</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90">
        <f t="shared" ref="AN278" si="414">IF(LEFT($AN$1,6)="共同生活援助",SUM(I279:AM279),SUM(I279:AM280))</f>
        <v>0</v>
      </c>
      <c r="AO278" s="662">
        <f>IF($AN$3="４週",AN278/4,AN278/(DAY(EOMONTH($I$21,0))/7))</f>
        <v>0</v>
      </c>
      <c r="AP278" s="665"/>
      <c r="AQ278" s="666"/>
      <c r="AR278" s="662" t="str">
        <f t="shared" ref="AR278" si="415">IF($AN$3="４週",AU279,AV279)</f>
        <v/>
      </c>
      <c r="AS278" s="662"/>
      <c r="AT278" s="671" t="str">
        <f t="shared" ref="AT278" si="416">IF(AX279&lt;=1.1,"",IF(AY279&lt;=1.1,"",IF(F278="","","勤務時間"&amp;CHAR(10)&amp;"OVER")))</f>
        <v/>
      </c>
      <c r="AU278" s="520" t="s">
        <v>630</v>
      </c>
      <c r="AV278" s="520" t="s">
        <v>631</v>
      </c>
      <c r="AX278" s="520" t="s">
        <v>632</v>
      </c>
      <c r="AY278" s="520" t="s">
        <v>633</v>
      </c>
    </row>
    <row r="279" spans="1:51" s="500" customFormat="1" ht="12" customHeight="1">
      <c r="A279" s="673"/>
      <c r="B279" s="676"/>
      <c r="C279" s="694"/>
      <c r="D279" s="682"/>
      <c r="E279" s="521"/>
      <c r="F279" s="686"/>
      <c r="G279" s="687"/>
      <c r="H279" s="522" t="s">
        <v>634</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91"/>
      <c r="AO279" s="663"/>
      <c r="AP279" s="667"/>
      <c r="AQ279" s="668"/>
      <c r="AR279" s="663"/>
      <c r="AS279" s="663"/>
      <c r="AT279" s="671"/>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4"/>
      <c r="B280" s="677"/>
      <c r="C280" s="695"/>
      <c r="D280" s="683"/>
      <c r="E280" s="521"/>
      <c r="F280" s="688"/>
      <c r="G280" s="689"/>
      <c r="H280" s="525" t="s">
        <v>635</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92"/>
      <c r="AO280" s="664"/>
      <c r="AP280" s="669"/>
      <c r="AQ280" s="670"/>
      <c r="AR280" s="664"/>
      <c r="AS280" s="664"/>
      <c r="AT280" s="671"/>
      <c r="AU280" s="527"/>
      <c r="AV280" s="527"/>
      <c r="AX280" s="527"/>
      <c r="AY280" s="527"/>
    </row>
    <row r="281" spans="1:51" s="500" customFormat="1" ht="12" customHeight="1">
      <c r="A281" s="672">
        <v>87</v>
      </c>
      <c r="B281" s="675"/>
      <c r="C281" s="693"/>
      <c r="D281" s="681" t="s">
        <v>628</v>
      </c>
      <c r="E281" s="517"/>
      <c r="F281" s="684"/>
      <c r="G281" s="685"/>
      <c r="H281" s="518" t="s">
        <v>629</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90">
        <f t="shared" ref="AN281" si="419">IF(LEFT($AN$1,6)="共同生活援助",SUM(I282:AM282),SUM(I282:AM283))</f>
        <v>0</v>
      </c>
      <c r="AO281" s="662">
        <f>IF($AN$3="４週",AN281/4,AN281/(DAY(EOMONTH($I$21,0))/7))</f>
        <v>0</v>
      </c>
      <c r="AP281" s="665"/>
      <c r="AQ281" s="666"/>
      <c r="AR281" s="662" t="str">
        <f t="shared" ref="AR281" si="420">IF($AN$3="４週",AU282,AV282)</f>
        <v/>
      </c>
      <c r="AS281" s="662"/>
      <c r="AT281" s="671" t="str">
        <f t="shared" ref="AT281" si="421">IF(AX282&lt;=1.1,"",IF(AY282&lt;=1.1,"",IF(F281="","","勤務時間"&amp;CHAR(10)&amp;"OVER")))</f>
        <v/>
      </c>
      <c r="AU281" s="520" t="s">
        <v>630</v>
      </c>
      <c r="AV281" s="520" t="s">
        <v>631</v>
      </c>
      <c r="AX281" s="520" t="s">
        <v>632</v>
      </c>
      <c r="AY281" s="520" t="s">
        <v>633</v>
      </c>
    </row>
    <row r="282" spans="1:51" s="500" customFormat="1" ht="12" customHeight="1">
      <c r="A282" s="673"/>
      <c r="B282" s="676"/>
      <c r="C282" s="694"/>
      <c r="D282" s="682"/>
      <c r="E282" s="521"/>
      <c r="F282" s="686"/>
      <c r="G282" s="687"/>
      <c r="H282" s="522" t="s">
        <v>634</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91"/>
      <c r="AO282" s="663"/>
      <c r="AP282" s="667"/>
      <c r="AQ282" s="668"/>
      <c r="AR282" s="663"/>
      <c r="AS282" s="663"/>
      <c r="AT282" s="671"/>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4"/>
      <c r="B283" s="677"/>
      <c r="C283" s="695"/>
      <c r="D283" s="683"/>
      <c r="E283" s="521"/>
      <c r="F283" s="688"/>
      <c r="G283" s="689"/>
      <c r="H283" s="525" t="s">
        <v>635</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92"/>
      <c r="AO283" s="664"/>
      <c r="AP283" s="669"/>
      <c r="AQ283" s="670"/>
      <c r="AR283" s="664"/>
      <c r="AS283" s="664"/>
      <c r="AT283" s="671"/>
      <c r="AU283" s="527"/>
      <c r="AV283" s="527"/>
      <c r="AX283" s="527"/>
      <c r="AY283" s="527"/>
    </row>
    <row r="284" spans="1:51" s="500" customFormat="1" ht="12" customHeight="1">
      <c r="A284" s="672">
        <v>88</v>
      </c>
      <c r="B284" s="675"/>
      <c r="C284" s="678"/>
      <c r="D284" s="681" t="s">
        <v>628</v>
      </c>
      <c r="E284" s="517"/>
      <c r="F284" s="684"/>
      <c r="G284" s="685"/>
      <c r="H284" s="518" t="s">
        <v>629</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90">
        <f t="shared" ref="AN284" si="424">IF(LEFT($AN$1,6)="共同生活援助",SUM(I285:AM285),SUM(I285:AM286))</f>
        <v>0</v>
      </c>
      <c r="AO284" s="662">
        <f>IF($AN$3="４週",AN284/4,AN284/(DAY(EOMONTH($I$21,0))/7))</f>
        <v>0</v>
      </c>
      <c r="AP284" s="665"/>
      <c r="AQ284" s="666"/>
      <c r="AR284" s="662" t="str">
        <f t="shared" ref="AR284" si="425">IF($AN$3="４週",AU285,AV285)</f>
        <v/>
      </c>
      <c r="AS284" s="662"/>
      <c r="AT284" s="671" t="str">
        <f t="shared" ref="AT284" si="426">IF(AX285&lt;=1.1,"",IF(AY285&lt;=1.1,"",IF(F284="","","勤務時間"&amp;CHAR(10)&amp;"OVER")))</f>
        <v/>
      </c>
      <c r="AU284" s="520" t="s">
        <v>630</v>
      </c>
      <c r="AV284" s="520" t="s">
        <v>631</v>
      </c>
      <c r="AX284" s="520" t="s">
        <v>632</v>
      </c>
      <c r="AY284" s="520" t="s">
        <v>633</v>
      </c>
    </row>
    <row r="285" spans="1:51" s="500" customFormat="1" ht="12" customHeight="1">
      <c r="A285" s="673"/>
      <c r="B285" s="676"/>
      <c r="C285" s="679"/>
      <c r="D285" s="682"/>
      <c r="E285" s="521"/>
      <c r="F285" s="686"/>
      <c r="G285" s="687"/>
      <c r="H285" s="522" t="s">
        <v>634</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91"/>
      <c r="AO285" s="663"/>
      <c r="AP285" s="667"/>
      <c r="AQ285" s="668"/>
      <c r="AR285" s="663"/>
      <c r="AS285" s="663"/>
      <c r="AT285" s="671"/>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4"/>
      <c r="B286" s="677"/>
      <c r="C286" s="680"/>
      <c r="D286" s="683"/>
      <c r="E286" s="521"/>
      <c r="F286" s="688"/>
      <c r="G286" s="689"/>
      <c r="H286" s="525" t="s">
        <v>635</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92"/>
      <c r="AO286" s="664"/>
      <c r="AP286" s="669"/>
      <c r="AQ286" s="670"/>
      <c r="AR286" s="664"/>
      <c r="AS286" s="664"/>
      <c r="AT286" s="671"/>
      <c r="AU286" s="527"/>
      <c r="AV286" s="527"/>
      <c r="AX286" s="527"/>
      <c r="AY286" s="527"/>
    </row>
    <row r="287" spans="1:51" s="500" customFormat="1" ht="12" customHeight="1">
      <c r="A287" s="672">
        <v>89</v>
      </c>
      <c r="B287" s="675"/>
      <c r="C287" s="693"/>
      <c r="D287" s="681" t="s">
        <v>628</v>
      </c>
      <c r="E287" s="517"/>
      <c r="F287" s="684"/>
      <c r="G287" s="685"/>
      <c r="H287" s="518" t="s">
        <v>629</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90">
        <f t="shared" ref="AN287" si="429">IF(LEFT($AN$1,6)="共同生活援助",SUM(I288:AM288),SUM(I288:AM289))</f>
        <v>0</v>
      </c>
      <c r="AO287" s="662">
        <f>IF($AN$3="４週",AN287/4,AN287/(DAY(EOMONTH($I$21,0))/7))</f>
        <v>0</v>
      </c>
      <c r="AP287" s="665"/>
      <c r="AQ287" s="666"/>
      <c r="AR287" s="662" t="str">
        <f t="shared" ref="AR287" si="430">IF($AN$3="４週",AU288,AV288)</f>
        <v/>
      </c>
      <c r="AS287" s="662"/>
      <c r="AT287" s="671" t="str">
        <f t="shared" ref="AT287" si="431">IF(AX288&lt;=1.1,"",IF(AY288&lt;=1.1,"",IF(F287="","","勤務時間"&amp;CHAR(10)&amp;"OVER")))</f>
        <v/>
      </c>
      <c r="AU287" s="520" t="s">
        <v>630</v>
      </c>
      <c r="AV287" s="520" t="s">
        <v>631</v>
      </c>
      <c r="AX287" s="520" t="s">
        <v>632</v>
      </c>
      <c r="AY287" s="520" t="s">
        <v>633</v>
      </c>
    </row>
    <row r="288" spans="1:51" s="500" customFormat="1" ht="12" customHeight="1">
      <c r="A288" s="673"/>
      <c r="B288" s="676"/>
      <c r="C288" s="694"/>
      <c r="D288" s="682"/>
      <c r="E288" s="521"/>
      <c r="F288" s="686"/>
      <c r="G288" s="687"/>
      <c r="H288" s="522" t="s">
        <v>634</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91"/>
      <c r="AO288" s="663"/>
      <c r="AP288" s="667"/>
      <c r="AQ288" s="668"/>
      <c r="AR288" s="663"/>
      <c r="AS288" s="663"/>
      <c r="AT288" s="671"/>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4"/>
      <c r="B289" s="677"/>
      <c r="C289" s="695"/>
      <c r="D289" s="683"/>
      <c r="E289" s="521"/>
      <c r="F289" s="688"/>
      <c r="G289" s="689"/>
      <c r="H289" s="525" t="s">
        <v>635</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92"/>
      <c r="AO289" s="664"/>
      <c r="AP289" s="669"/>
      <c r="AQ289" s="670"/>
      <c r="AR289" s="664"/>
      <c r="AS289" s="664"/>
      <c r="AT289" s="671"/>
      <c r="AU289" s="527"/>
      <c r="AV289" s="527"/>
      <c r="AX289" s="527"/>
      <c r="AY289" s="527"/>
    </row>
    <row r="290" spans="1:51" s="500" customFormat="1" ht="12" customHeight="1">
      <c r="A290" s="672">
        <v>90</v>
      </c>
      <c r="B290" s="675"/>
      <c r="C290" s="693"/>
      <c r="D290" s="681" t="s">
        <v>628</v>
      </c>
      <c r="E290" s="517"/>
      <c r="F290" s="684"/>
      <c r="G290" s="685"/>
      <c r="H290" s="518" t="s">
        <v>629</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90">
        <f t="shared" ref="AN290" si="434">IF(LEFT($AN$1,6)="共同生活援助",SUM(I291:AM291),SUM(I291:AM292))</f>
        <v>0</v>
      </c>
      <c r="AO290" s="662">
        <f>IF($AN$3="４週",AN290/4,AN290/(DAY(EOMONTH($I$21,0))/7))</f>
        <v>0</v>
      </c>
      <c r="AP290" s="665"/>
      <c r="AQ290" s="666"/>
      <c r="AR290" s="662" t="str">
        <f t="shared" ref="AR290" si="435">IF($AN$3="４週",AU291,AV291)</f>
        <v/>
      </c>
      <c r="AS290" s="662"/>
      <c r="AT290" s="671" t="str">
        <f t="shared" ref="AT290" si="436">IF(AX291&lt;=1.1,"",IF(AY291&lt;=1.1,"",IF(F290="","","勤務時間"&amp;CHAR(10)&amp;"OVER")))</f>
        <v/>
      </c>
      <c r="AU290" s="520" t="s">
        <v>630</v>
      </c>
      <c r="AV290" s="520" t="s">
        <v>631</v>
      </c>
      <c r="AX290" s="520" t="s">
        <v>632</v>
      </c>
      <c r="AY290" s="520" t="s">
        <v>633</v>
      </c>
    </row>
    <row r="291" spans="1:51" s="500" customFormat="1" ht="12" customHeight="1">
      <c r="A291" s="673"/>
      <c r="B291" s="676"/>
      <c r="C291" s="694"/>
      <c r="D291" s="682"/>
      <c r="E291" s="521"/>
      <c r="F291" s="686"/>
      <c r="G291" s="687"/>
      <c r="H291" s="522" t="s">
        <v>634</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91"/>
      <c r="AO291" s="663"/>
      <c r="AP291" s="667"/>
      <c r="AQ291" s="668"/>
      <c r="AR291" s="663"/>
      <c r="AS291" s="663"/>
      <c r="AT291" s="671"/>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4"/>
      <c r="B292" s="677"/>
      <c r="C292" s="695"/>
      <c r="D292" s="683"/>
      <c r="E292" s="521"/>
      <c r="F292" s="688"/>
      <c r="G292" s="689"/>
      <c r="H292" s="525" t="s">
        <v>635</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92"/>
      <c r="AO292" s="664"/>
      <c r="AP292" s="669"/>
      <c r="AQ292" s="670"/>
      <c r="AR292" s="664"/>
      <c r="AS292" s="664"/>
      <c r="AT292" s="671"/>
      <c r="AU292" s="527"/>
      <c r="AV292" s="527"/>
      <c r="AX292" s="527"/>
      <c r="AY292" s="527"/>
    </row>
    <row r="293" spans="1:51" s="500" customFormat="1" ht="12" customHeight="1">
      <c r="A293" s="672">
        <v>91</v>
      </c>
      <c r="B293" s="675"/>
      <c r="C293" s="693"/>
      <c r="D293" s="681" t="s">
        <v>628</v>
      </c>
      <c r="E293" s="517"/>
      <c r="F293" s="684"/>
      <c r="G293" s="685"/>
      <c r="H293" s="518" t="s">
        <v>629</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90">
        <f t="shared" ref="AN293" si="439">IF(LEFT($AN$1,6)="共同生活援助",SUM(I294:AM294),SUM(I294:AM295))</f>
        <v>0</v>
      </c>
      <c r="AO293" s="662">
        <f>IF($AN$3="４週",AN293/4,AN293/(DAY(EOMONTH($I$21,0))/7))</f>
        <v>0</v>
      </c>
      <c r="AP293" s="665"/>
      <c r="AQ293" s="666"/>
      <c r="AR293" s="662" t="str">
        <f t="shared" ref="AR293" si="440">IF($AN$3="４週",AU294,AV294)</f>
        <v/>
      </c>
      <c r="AS293" s="662"/>
      <c r="AT293" s="671" t="str">
        <f t="shared" ref="AT293" si="441">IF(AX294&lt;=1.1,"",IF(AY294&lt;=1.1,"",IF(F293="","","勤務時間"&amp;CHAR(10)&amp;"OVER")))</f>
        <v/>
      </c>
      <c r="AU293" s="520" t="s">
        <v>630</v>
      </c>
      <c r="AV293" s="520" t="s">
        <v>631</v>
      </c>
      <c r="AX293" s="520" t="s">
        <v>632</v>
      </c>
      <c r="AY293" s="520" t="s">
        <v>633</v>
      </c>
    </row>
    <row r="294" spans="1:51" s="500" customFormat="1" ht="12" customHeight="1">
      <c r="A294" s="673"/>
      <c r="B294" s="676"/>
      <c r="C294" s="694"/>
      <c r="D294" s="682"/>
      <c r="E294" s="521"/>
      <c r="F294" s="686"/>
      <c r="G294" s="687"/>
      <c r="H294" s="522" t="s">
        <v>634</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91"/>
      <c r="AO294" s="663"/>
      <c r="AP294" s="667"/>
      <c r="AQ294" s="668"/>
      <c r="AR294" s="663"/>
      <c r="AS294" s="663"/>
      <c r="AT294" s="671"/>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4"/>
      <c r="B295" s="677"/>
      <c r="C295" s="695"/>
      <c r="D295" s="683"/>
      <c r="E295" s="521"/>
      <c r="F295" s="688"/>
      <c r="G295" s="689"/>
      <c r="H295" s="525" t="s">
        <v>635</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92"/>
      <c r="AO295" s="664"/>
      <c r="AP295" s="669"/>
      <c r="AQ295" s="670"/>
      <c r="AR295" s="664"/>
      <c r="AS295" s="664"/>
      <c r="AT295" s="671"/>
      <c r="AU295" s="527"/>
      <c r="AV295" s="527"/>
      <c r="AX295" s="527"/>
      <c r="AY295" s="527"/>
    </row>
    <row r="296" spans="1:51" s="500" customFormat="1" ht="12" customHeight="1">
      <c r="A296" s="672">
        <v>92</v>
      </c>
      <c r="B296" s="675"/>
      <c r="C296" s="693"/>
      <c r="D296" s="681" t="s">
        <v>628</v>
      </c>
      <c r="E296" s="517"/>
      <c r="F296" s="684"/>
      <c r="G296" s="685"/>
      <c r="H296" s="518" t="s">
        <v>629</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90">
        <f t="shared" ref="AN296" si="444">IF(LEFT($AN$1,6)="共同生活援助",SUM(I297:AM297),SUM(I297:AM298))</f>
        <v>0</v>
      </c>
      <c r="AO296" s="662">
        <f>IF($AN$3="４週",AN296/4,AN296/(DAY(EOMONTH($I$21,0))/7))</f>
        <v>0</v>
      </c>
      <c r="AP296" s="665"/>
      <c r="AQ296" s="666"/>
      <c r="AR296" s="662" t="str">
        <f t="shared" ref="AR296" si="445">IF($AN$3="４週",AU297,AV297)</f>
        <v/>
      </c>
      <c r="AS296" s="662"/>
      <c r="AT296" s="671" t="str">
        <f t="shared" ref="AT296" si="446">IF(AX297&lt;=1.1,"",IF(AY297&lt;=1.1,"",IF(F296="","","勤務時間"&amp;CHAR(10)&amp;"OVER")))</f>
        <v/>
      </c>
      <c r="AU296" s="520" t="s">
        <v>630</v>
      </c>
      <c r="AV296" s="520" t="s">
        <v>631</v>
      </c>
      <c r="AX296" s="520" t="s">
        <v>632</v>
      </c>
      <c r="AY296" s="520" t="s">
        <v>633</v>
      </c>
    </row>
    <row r="297" spans="1:51" s="500" customFormat="1" ht="12" customHeight="1">
      <c r="A297" s="673"/>
      <c r="B297" s="676"/>
      <c r="C297" s="694"/>
      <c r="D297" s="682"/>
      <c r="E297" s="521"/>
      <c r="F297" s="686"/>
      <c r="G297" s="687"/>
      <c r="H297" s="522" t="s">
        <v>634</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91"/>
      <c r="AO297" s="663"/>
      <c r="AP297" s="667"/>
      <c r="AQ297" s="668"/>
      <c r="AR297" s="663"/>
      <c r="AS297" s="663"/>
      <c r="AT297" s="671"/>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4"/>
      <c r="B298" s="677"/>
      <c r="C298" s="695"/>
      <c r="D298" s="683"/>
      <c r="E298" s="521"/>
      <c r="F298" s="688"/>
      <c r="G298" s="689"/>
      <c r="H298" s="525" t="s">
        <v>635</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92"/>
      <c r="AO298" s="664"/>
      <c r="AP298" s="669"/>
      <c r="AQ298" s="670"/>
      <c r="AR298" s="664"/>
      <c r="AS298" s="664"/>
      <c r="AT298" s="671"/>
      <c r="AU298" s="527"/>
      <c r="AV298" s="527"/>
      <c r="AX298" s="527"/>
      <c r="AY298" s="527"/>
    </row>
    <row r="299" spans="1:51" s="500" customFormat="1" ht="12" customHeight="1">
      <c r="A299" s="672">
        <v>93</v>
      </c>
      <c r="B299" s="675"/>
      <c r="C299" s="693"/>
      <c r="D299" s="681" t="s">
        <v>628</v>
      </c>
      <c r="E299" s="517"/>
      <c r="F299" s="684"/>
      <c r="G299" s="685"/>
      <c r="H299" s="518" t="s">
        <v>629</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90">
        <f t="shared" ref="AN299" si="449">IF(LEFT($AN$1,6)="共同生活援助",SUM(I300:AM300),SUM(I300:AM301))</f>
        <v>0</v>
      </c>
      <c r="AO299" s="662">
        <f>IF($AN$3="４週",AN299/4,AN299/(DAY(EOMONTH($I$21,0))/7))</f>
        <v>0</v>
      </c>
      <c r="AP299" s="665"/>
      <c r="AQ299" s="666"/>
      <c r="AR299" s="662" t="str">
        <f t="shared" ref="AR299" si="450">IF($AN$3="４週",AU300,AV300)</f>
        <v/>
      </c>
      <c r="AS299" s="662"/>
      <c r="AT299" s="671" t="str">
        <f t="shared" ref="AT299" si="451">IF(AX300&lt;=1.1,"",IF(AY300&lt;=1.1,"",IF(F299="","","勤務時間"&amp;CHAR(10)&amp;"OVER")))</f>
        <v/>
      </c>
      <c r="AU299" s="520" t="s">
        <v>630</v>
      </c>
      <c r="AV299" s="520" t="s">
        <v>631</v>
      </c>
      <c r="AX299" s="520" t="s">
        <v>632</v>
      </c>
      <c r="AY299" s="520" t="s">
        <v>633</v>
      </c>
    </row>
    <row r="300" spans="1:51" s="500" customFormat="1" ht="12" customHeight="1">
      <c r="A300" s="673"/>
      <c r="B300" s="676"/>
      <c r="C300" s="694"/>
      <c r="D300" s="682"/>
      <c r="E300" s="521"/>
      <c r="F300" s="686"/>
      <c r="G300" s="687"/>
      <c r="H300" s="522" t="s">
        <v>634</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91"/>
      <c r="AO300" s="663"/>
      <c r="AP300" s="667"/>
      <c r="AQ300" s="668"/>
      <c r="AR300" s="663"/>
      <c r="AS300" s="663"/>
      <c r="AT300" s="671"/>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4"/>
      <c r="B301" s="677"/>
      <c r="C301" s="695"/>
      <c r="D301" s="683"/>
      <c r="E301" s="521"/>
      <c r="F301" s="688"/>
      <c r="G301" s="689"/>
      <c r="H301" s="525" t="s">
        <v>635</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92"/>
      <c r="AO301" s="664"/>
      <c r="AP301" s="669"/>
      <c r="AQ301" s="670"/>
      <c r="AR301" s="664"/>
      <c r="AS301" s="664"/>
      <c r="AT301" s="671"/>
      <c r="AU301" s="527"/>
      <c r="AV301" s="527"/>
      <c r="AX301" s="527"/>
      <c r="AY301" s="527"/>
    </row>
    <row r="302" spans="1:51" s="500" customFormat="1" ht="12" customHeight="1">
      <c r="A302" s="672">
        <v>94</v>
      </c>
      <c r="B302" s="675"/>
      <c r="C302" s="693"/>
      <c r="D302" s="681" t="s">
        <v>628</v>
      </c>
      <c r="E302" s="517"/>
      <c r="F302" s="684"/>
      <c r="G302" s="685"/>
      <c r="H302" s="518" t="s">
        <v>629</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90">
        <f t="shared" ref="AN302" si="454">IF(LEFT($AN$1,6)="共同生活援助",SUM(I303:AM303),SUM(I303:AM304))</f>
        <v>0</v>
      </c>
      <c r="AO302" s="662">
        <f>IF($AN$3="４週",AN302/4,AN302/(DAY(EOMONTH($I$21,0))/7))</f>
        <v>0</v>
      </c>
      <c r="AP302" s="665"/>
      <c r="AQ302" s="666"/>
      <c r="AR302" s="662" t="str">
        <f t="shared" ref="AR302" si="455">IF($AN$3="４週",AU303,AV303)</f>
        <v/>
      </c>
      <c r="AS302" s="662"/>
      <c r="AT302" s="671" t="str">
        <f t="shared" ref="AT302" si="456">IF(AX303&lt;=1.1,"",IF(AY303&lt;=1.1,"",IF(F302="","","勤務時間"&amp;CHAR(10)&amp;"OVER")))</f>
        <v/>
      </c>
      <c r="AU302" s="520" t="s">
        <v>630</v>
      </c>
      <c r="AV302" s="520" t="s">
        <v>631</v>
      </c>
      <c r="AX302" s="520" t="s">
        <v>632</v>
      </c>
      <c r="AY302" s="520" t="s">
        <v>633</v>
      </c>
    </row>
    <row r="303" spans="1:51" s="500" customFormat="1" ht="12" customHeight="1">
      <c r="A303" s="673"/>
      <c r="B303" s="676"/>
      <c r="C303" s="694"/>
      <c r="D303" s="682"/>
      <c r="E303" s="521"/>
      <c r="F303" s="686"/>
      <c r="G303" s="687"/>
      <c r="H303" s="522" t="s">
        <v>634</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91"/>
      <c r="AO303" s="663"/>
      <c r="AP303" s="667"/>
      <c r="AQ303" s="668"/>
      <c r="AR303" s="663"/>
      <c r="AS303" s="663"/>
      <c r="AT303" s="671"/>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4"/>
      <c r="B304" s="677"/>
      <c r="C304" s="695"/>
      <c r="D304" s="683"/>
      <c r="E304" s="521"/>
      <c r="F304" s="688"/>
      <c r="G304" s="689"/>
      <c r="H304" s="525" t="s">
        <v>635</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92"/>
      <c r="AO304" s="664"/>
      <c r="AP304" s="669"/>
      <c r="AQ304" s="670"/>
      <c r="AR304" s="664"/>
      <c r="AS304" s="664"/>
      <c r="AT304" s="671"/>
      <c r="AU304" s="527"/>
      <c r="AV304" s="527"/>
      <c r="AX304" s="527"/>
      <c r="AY304" s="527"/>
    </row>
    <row r="305" spans="1:51" s="500" customFormat="1" ht="12" customHeight="1">
      <c r="A305" s="672">
        <v>95</v>
      </c>
      <c r="B305" s="675"/>
      <c r="C305" s="693"/>
      <c r="D305" s="681" t="s">
        <v>628</v>
      </c>
      <c r="E305" s="517"/>
      <c r="F305" s="684"/>
      <c r="G305" s="685"/>
      <c r="H305" s="518" t="s">
        <v>629</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90">
        <f t="shared" ref="AN305" si="459">IF(LEFT($AN$1,6)="共同生活援助",SUM(I306:AM306),SUM(I306:AM307))</f>
        <v>0</v>
      </c>
      <c r="AO305" s="662">
        <f>IF($AN$3="４週",AN305/4,AN305/(DAY(EOMONTH($I$21,0))/7))</f>
        <v>0</v>
      </c>
      <c r="AP305" s="665"/>
      <c r="AQ305" s="666"/>
      <c r="AR305" s="662" t="str">
        <f t="shared" ref="AR305" si="460">IF($AN$3="４週",AU306,AV306)</f>
        <v/>
      </c>
      <c r="AS305" s="662"/>
      <c r="AT305" s="671" t="str">
        <f t="shared" ref="AT305" si="461">IF(AX306&lt;=1.1,"",IF(AY306&lt;=1.1,"",IF(F305="","","勤務時間"&amp;CHAR(10)&amp;"OVER")))</f>
        <v/>
      </c>
      <c r="AU305" s="520" t="s">
        <v>630</v>
      </c>
      <c r="AV305" s="520" t="s">
        <v>631</v>
      </c>
      <c r="AX305" s="520" t="s">
        <v>632</v>
      </c>
      <c r="AY305" s="520" t="s">
        <v>633</v>
      </c>
    </row>
    <row r="306" spans="1:51" s="500" customFormat="1" ht="12" customHeight="1">
      <c r="A306" s="673"/>
      <c r="B306" s="676"/>
      <c r="C306" s="694"/>
      <c r="D306" s="682"/>
      <c r="E306" s="521"/>
      <c r="F306" s="686"/>
      <c r="G306" s="687"/>
      <c r="H306" s="522" t="s">
        <v>634</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91"/>
      <c r="AO306" s="663"/>
      <c r="AP306" s="667"/>
      <c r="AQ306" s="668"/>
      <c r="AR306" s="663"/>
      <c r="AS306" s="663"/>
      <c r="AT306" s="671"/>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4"/>
      <c r="B307" s="677"/>
      <c r="C307" s="695"/>
      <c r="D307" s="683"/>
      <c r="E307" s="521"/>
      <c r="F307" s="688"/>
      <c r="G307" s="689"/>
      <c r="H307" s="525" t="s">
        <v>635</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92"/>
      <c r="AO307" s="664"/>
      <c r="AP307" s="669"/>
      <c r="AQ307" s="670"/>
      <c r="AR307" s="664"/>
      <c r="AS307" s="664"/>
      <c r="AT307" s="671"/>
      <c r="AU307" s="527"/>
      <c r="AV307" s="527"/>
      <c r="AX307" s="527"/>
      <c r="AY307" s="527"/>
    </row>
    <row r="308" spans="1:51" s="500" customFormat="1" ht="12" customHeight="1">
      <c r="A308" s="672">
        <v>96</v>
      </c>
      <c r="B308" s="675"/>
      <c r="C308" s="693"/>
      <c r="D308" s="681" t="s">
        <v>628</v>
      </c>
      <c r="E308" s="517"/>
      <c r="F308" s="684"/>
      <c r="G308" s="685"/>
      <c r="H308" s="518" t="s">
        <v>629</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90">
        <f t="shared" ref="AN308" si="464">IF(LEFT($AN$1,6)="共同生活援助",SUM(I309:AM309),SUM(I309:AM310))</f>
        <v>0</v>
      </c>
      <c r="AO308" s="662">
        <f>IF($AN$3="４週",AN308/4,AN308/(DAY(EOMONTH($I$21,0))/7))</f>
        <v>0</v>
      </c>
      <c r="AP308" s="665"/>
      <c r="AQ308" s="666"/>
      <c r="AR308" s="662" t="str">
        <f t="shared" ref="AR308" si="465">IF($AN$3="４週",AU309,AV309)</f>
        <v/>
      </c>
      <c r="AS308" s="662"/>
      <c r="AT308" s="671" t="str">
        <f t="shared" ref="AT308" si="466">IF(AX309&lt;=1.1,"",IF(AY309&lt;=1.1,"",IF(F308="","","勤務時間"&amp;CHAR(10)&amp;"OVER")))</f>
        <v/>
      </c>
      <c r="AU308" s="520" t="s">
        <v>630</v>
      </c>
      <c r="AV308" s="520" t="s">
        <v>631</v>
      </c>
      <c r="AX308" s="520" t="s">
        <v>632</v>
      </c>
      <c r="AY308" s="520" t="s">
        <v>633</v>
      </c>
    </row>
    <row r="309" spans="1:51" s="500" customFormat="1" ht="12" customHeight="1">
      <c r="A309" s="673"/>
      <c r="B309" s="676"/>
      <c r="C309" s="694"/>
      <c r="D309" s="682"/>
      <c r="E309" s="521"/>
      <c r="F309" s="686"/>
      <c r="G309" s="687"/>
      <c r="H309" s="522" t="s">
        <v>634</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91"/>
      <c r="AO309" s="663"/>
      <c r="AP309" s="667"/>
      <c r="AQ309" s="668"/>
      <c r="AR309" s="663"/>
      <c r="AS309" s="663"/>
      <c r="AT309" s="671"/>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4"/>
      <c r="B310" s="677"/>
      <c r="C310" s="695"/>
      <c r="D310" s="683"/>
      <c r="E310" s="521"/>
      <c r="F310" s="688"/>
      <c r="G310" s="689"/>
      <c r="H310" s="525" t="s">
        <v>635</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92"/>
      <c r="AO310" s="664"/>
      <c r="AP310" s="669"/>
      <c r="AQ310" s="670"/>
      <c r="AR310" s="664"/>
      <c r="AS310" s="664"/>
      <c r="AT310" s="671"/>
      <c r="AU310" s="527"/>
      <c r="AV310" s="527"/>
      <c r="AX310" s="527"/>
      <c r="AY310" s="527"/>
    </row>
    <row r="311" spans="1:51" s="500" customFormat="1" ht="12" customHeight="1">
      <c r="A311" s="672">
        <v>97</v>
      </c>
      <c r="B311" s="675"/>
      <c r="C311" s="693"/>
      <c r="D311" s="681" t="s">
        <v>628</v>
      </c>
      <c r="E311" s="517"/>
      <c r="F311" s="684"/>
      <c r="G311" s="685"/>
      <c r="H311" s="518" t="s">
        <v>629</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90">
        <f t="shared" ref="AN311" si="469">IF(LEFT($AN$1,6)="共同生活援助",SUM(I312:AM312),SUM(I312:AM313))</f>
        <v>0</v>
      </c>
      <c r="AO311" s="662">
        <f>IF($AN$3="４週",AN311/4,AN311/(DAY(EOMONTH($I$21,0))/7))</f>
        <v>0</v>
      </c>
      <c r="AP311" s="665"/>
      <c r="AQ311" s="666"/>
      <c r="AR311" s="662" t="str">
        <f t="shared" ref="AR311" si="470">IF($AN$3="４週",AU312,AV312)</f>
        <v/>
      </c>
      <c r="AS311" s="662"/>
      <c r="AT311" s="671" t="str">
        <f t="shared" ref="AT311" si="471">IF(AX312&lt;=1.1,"",IF(AY312&lt;=1.1,"",IF(F311="","","勤務時間"&amp;CHAR(10)&amp;"OVER")))</f>
        <v/>
      </c>
      <c r="AU311" s="520" t="s">
        <v>630</v>
      </c>
      <c r="AV311" s="520" t="s">
        <v>631</v>
      </c>
      <c r="AX311" s="520" t="s">
        <v>632</v>
      </c>
      <c r="AY311" s="520" t="s">
        <v>633</v>
      </c>
    </row>
    <row r="312" spans="1:51" s="500" customFormat="1" ht="12" customHeight="1">
      <c r="A312" s="673"/>
      <c r="B312" s="676"/>
      <c r="C312" s="694"/>
      <c r="D312" s="682"/>
      <c r="E312" s="521"/>
      <c r="F312" s="686"/>
      <c r="G312" s="687"/>
      <c r="H312" s="522" t="s">
        <v>634</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91"/>
      <c r="AO312" s="663"/>
      <c r="AP312" s="667"/>
      <c r="AQ312" s="668"/>
      <c r="AR312" s="663"/>
      <c r="AS312" s="663"/>
      <c r="AT312" s="671"/>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4"/>
      <c r="B313" s="677"/>
      <c r="C313" s="695"/>
      <c r="D313" s="683"/>
      <c r="E313" s="521"/>
      <c r="F313" s="688"/>
      <c r="G313" s="689"/>
      <c r="H313" s="525" t="s">
        <v>635</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92"/>
      <c r="AO313" s="664"/>
      <c r="AP313" s="669"/>
      <c r="AQ313" s="670"/>
      <c r="AR313" s="664"/>
      <c r="AS313" s="664"/>
      <c r="AT313" s="671"/>
      <c r="AU313" s="527"/>
      <c r="AV313" s="527"/>
      <c r="AX313" s="527"/>
      <c r="AY313" s="527"/>
    </row>
    <row r="314" spans="1:51" s="500" customFormat="1" ht="12" customHeight="1">
      <c r="A314" s="672">
        <v>98</v>
      </c>
      <c r="B314" s="675"/>
      <c r="C314" s="693"/>
      <c r="D314" s="681" t="s">
        <v>628</v>
      </c>
      <c r="E314" s="517"/>
      <c r="F314" s="684"/>
      <c r="G314" s="685"/>
      <c r="H314" s="518" t="s">
        <v>629</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90">
        <f t="shared" ref="AN314" si="474">IF(LEFT($AN$1,6)="共同生活援助",SUM(I315:AM315),SUM(I315:AM316))</f>
        <v>0</v>
      </c>
      <c r="AO314" s="662">
        <f>IF($AN$3="４週",AN314/4,AN314/(DAY(EOMONTH($I$21,0))/7))</f>
        <v>0</v>
      </c>
      <c r="AP314" s="665"/>
      <c r="AQ314" s="666"/>
      <c r="AR314" s="662" t="str">
        <f t="shared" ref="AR314" si="475">IF($AN$3="４週",AU315,AV315)</f>
        <v/>
      </c>
      <c r="AS314" s="662"/>
      <c r="AT314" s="671" t="str">
        <f t="shared" ref="AT314" si="476">IF(AX315&lt;=1.1,"",IF(AY315&lt;=1.1,"",IF(F314="","","勤務時間"&amp;CHAR(10)&amp;"OVER")))</f>
        <v/>
      </c>
      <c r="AU314" s="520" t="s">
        <v>630</v>
      </c>
      <c r="AV314" s="520" t="s">
        <v>631</v>
      </c>
      <c r="AX314" s="520" t="s">
        <v>632</v>
      </c>
      <c r="AY314" s="520" t="s">
        <v>633</v>
      </c>
    </row>
    <row r="315" spans="1:51" s="500" customFormat="1" ht="12" customHeight="1">
      <c r="A315" s="673"/>
      <c r="B315" s="676"/>
      <c r="C315" s="694"/>
      <c r="D315" s="682"/>
      <c r="E315" s="521"/>
      <c r="F315" s="686"/>
      <c r="G315" s="687"/>
      <c r="H315" s="522" t="s">
        <v>634</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91"/>
      <c r="AO315" s="663"/>
      <c r="AP315" s="667"/>
      <c r="AQ315" s="668"/>
      <c r="AR315" s="663"/>
      <c r="AS315" s="663"/>
      <c r="AT315" s="671"/>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4"/>
      <c r="B316" s="677"/>
      <c r="C316" s="695"/>
      <c r="D316" s="683"/>
      <c r="E316" s="521"/>
      <c r="F316" s="688"/>
      <c r="G316" s="689"/>
      <c r="H316" s="525" t="s">
        <v>635</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92"/>
      <c r="AO316" s="664"/>
      <c r="AP316" s="669"/>
      <c r="AQ316" s="670"/>
      <c r="AR316" s="664"/>
      <c r="AS316" s="664"/>
      <c r="AT316" s="671"/>
      <c r="AU316" s="527"/>
      <c r="AV316" s="527"/>
      <c r="AX316" s="527"/>
      <c r="AY316" s="527"/>
    </row>
    <row r="317" spans="1:51" s="500" customFormat="1" ht="12" customHeight="1">
      <c r="A317" s="672">
        <v>99</v>
      </c>
      <c r="B317" s="675"/>
      <c r="C317" s="678"/>
      <c r="D317" s="681" t="s">
        <v>628</v>
      </c>
      <c r="E317" s="517"/>
      <c r="F317" s="684"/>
      <c r="G317" s="685"/>
      <c r="H317" s="518" t="s">
        <v>629</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90">
        <f t="shared" ref="AN317" si="479">IF(LEFT($AN$1,6)="共同生活援助",SUM(I318:AM318),SUM(I318:AM319))</f>
        <v>0</v>
      </c>
      <c r="AO317" s="662">
        <f>IF($AN$3="４週",AN317/4,AN317/(DAY(EOMONTH($I$21,0))/7))</f>
        <v>0</v>
      </c>
      <c r="AP317" s="665"/>
      <c r="AQ317" s="666"/>
      <c r="AR317" s="662" t="str">
        <f t="shared" ref="AR317" si="480">IF($AN$3="４週",AU318,AV318)</f>
        <v/>
      </c>
      <c r="AS317" s="662"/>
      <c r="AT317" s="671" t="str">
        <f t="shared" ref="AT317" si="481">IF(AX318&lt;=1.1,"",IF(AY318&lt;=1.1,"",IF(F317="","","勤務時間"&amp;CHAR(10)&amp;"OVER")))</f>
        <v/>
      </c>
      <c r="AU317" s="520" t="s">
        <v>630</v>
      </c>
      <c r="AV317" s="520" t="s">
        <v>631</v>
      </c>
      <c r="AX317" s="520" t="s">
        <v>632</v>
      </c>
      <c r="AY317" s="520" t="s">
        <v>633</v>
      </c>
    </row>
    <row r="318" spans="1:51" s="500" customFormat="1" ht="12" customHeight="1">
      <c r="A318" s="673"/>
      <c r="B318" s="676"/>
      <c r="C318" s="679"/>
      <c r="D318" s="682"/>
      <c r="E318" s="521"/>
      <c r="F318" s="686"/>
      <c r="G318" s="687"/>
      <c r="H318" s="522" t="s">
        <v>634</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91"/>
      <c r="AO318" s="663"/>
      <c r="AP318" s="667"/>
      <c r="AQ318" s="668"/>
      <c r="AR318" s="663"/>
      <c r="AS318" s="663"/>
      <c r="AT318" s="671"/>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4"/>
      <c r="B319" s="677"/>
      <c r="C319" s="680"/>
      <c r="D319" s="683"/>
      <c r="E319" s="581"/>
      <c r="F319" s="688"/>
      <c r="G319" s="689"/>
      <c r="H319" s="525" t="s">
        <v>635</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92"/>
      <c r="AO319" s="664"/>
      <c r="AP319" s="669"/>
      <c r="AQ319" s="670"/>
      <c r="AR319" s="664"/>
      <c r="AS319" s="664"/>
      <c r="AT319" s="671"/>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636</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637</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638</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639</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640</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641</v>
      </c>
      <c r="B326" s="552"/>
      <c r="C326" s="540"/>
      <c r="D326" s="540"/>
      <c r="E326" s="540"/>
      <c r="F326" s="540"/>
      <c r="G326" s="540"/>
      <c r="H326" s="540"/>
      <c r="I326" s="540"/>
      <c r="J326" s="540"/>
    </row>
    <row r="327" spans="1:46" ht="15" customHeight="1">
      <c r="A327" s="540" t="s">
        <v>642</v>
      </c>
      <c r="B327" s="552"/>
      <c r="C327" s="540"/>
      <c r="D327" s="540"/>
      <c r="E327" s="540"/>
      <c r="F327" s="540"/>
      <c r="G327" s="540"/>
      <c r="H327" s="540"/>
      <c r="I327" s="540"/>
      <c r="J327" s="540"/>
    </row>
    <row r="328" spans="1:46" ht="15" customHeight="1">
      <c r="A328" s="540"/>
      <c r="B328" s="553" t="s">
        <v>643</v>
      </c>
      <c r="C328" s="659" t="s">
        <v>644</v>
      </c>
      <c r="D328" s="660"/>
      <c r="E328" s="661"/>
      <c r="F328" s="536"/>
      <c r="G328" s="536"/>
      <c r="H328" s="540"/>
      <c r="I328" s="540"/>
      <c r="AS328" s="540"/>
    </row>
    <row r="329" spans="1:46" ht="15" customHeight="1">
      <c r="A329" s="540"/>
      <c r="B329" s="554" t="s">
        <v>645</v>
      </c>
      <c r="C329" s="659" t="s">
        <v>646</v>
      </c>
      <c r="D329" s="660"/>
      <c r="E329" s="661"/>
      <c r="F329" s="540"/>
      <c r="G329" s="540"/>
      <c r="H329" s="540"/>
      <c r="I329" s="540"/>
      <c r="AS329" s="540"/>
    </row>
    <row r="330" spans="1:46" ht="15" customHeight="1">
      <c r="A330" s="540"/>
      <c r="B330" s="554" t="s">
        <v>647</v>
      </c>
      <c r="C330" s="659" t="s">
        <v>648</v>
      </c>
      <c r="D330" s="660"/>
      <c r="E330" s="661"/>
      <c r="F330" s="540"/>
      <c r="G330" s="540"/>
      <c r="H330" s="540"/>
      <c r="I330" s="540"/>
      <c r="AS330" s="540"/>
    </row>
    <row r="331" spans="1:46" ht="15" customHeight="1">
      <c r="A331" s="540"/>
      <c r="B331" s="554" t="s">
        <v>649</v>
      </c>
      <c r="C331" s="659" t="s">
        <v>650</v>
      </c>
      <c r="D331" s="660"/>
      <c r="E331" s="661"/>
      <c r="F331" s="540"/>
      <c r="G331" s="540"/>
      <c r="H331" s="540"/>
      <c r="I331" s="540"/>
      <c r="AS331" s="540"/>
    </row>
    <row r="332" spans="1:46" ht="15" customHeight="1">
      <c r="A332" s="540"/>
      <c r="B332" s="554" t="s">
        <v>651</v>
      </c>
      <c r="C332" s="659" t="s">
        <v>652</v>
      </c>
      <c r="D332" s="660"/>
      <c r="E332" s="661"/>
      <c r="F332" s="540"/>
      <c r="G332" s="540"/>
      <c r="H332" s="540"/>
      <c r="I332" s="540"/>
      <c r="AS332" s="540"/>
    </row>
    <row r="333" spans="1:46" ht="15" customHeight="1">
      <c r="A333" s="540"/>
      <c r="B333" s="540" t="s">
        <v>653</v>
      </c>
      <c r="C333" s="540"/>
      <c r="D333" s="540"/>
      <c r="E333" s="540"/>
      <c r="F333" s="540"/>
      <c r="G333" s="540"/>
      <c r="H333" s="540"/>
      <c r="I333" s="540"/>
      <c r="J333" s="540"/>
    </row>
    <row r="334" spans="1:46" ht="15" customHeight="1">
      <c r="A334" s="540"/>
      <c r="B334" s="540" t="s">
        <v>654</v>
      </c>
      <c r="C334" s="540"/>
      <c r="D334" s="540"/>
      <c r="E334" s="540"/>
      <c r="F334" s="540"/>
      <c r="G334" s="540"/>
      <c r="H334" s="540"/>
      <c r="I334" s="540"/>
      <c r="J334" s="540"/>
    </row>
    <row r="335" spans="1:46" ht="15" customHeight="1">
      <c r="A335" s="540"/>
      <c r="B335" s="540" t="s">
        <v>655</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656</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657</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658</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659</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660</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661</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662</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663</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664</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665</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666</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667</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668</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heetViews>
  <sheetFormatPr defaultRowHeight="13.5"/>
  <cols>
    <col min="1" max="1" width="3.125" style="339" customWidth="1"/>
    <col min="2" max="2" width="16" style="339" customWidth="1"/>
    <col min="3" max="4" width="18.625" style="339" customWidth="1"/>
    <col min="5" max="6" width="13.625" style="339" customWidth="1"/>
    <col min="7" max="9" width="17.625" style="339" customWidth="1"/>
    <col min="10" max="11" width="13.625" style="339" customWidth="1"/>
    <col min="12" max="12" width="9" style="339" bestFit="1" customWidth="1"/>
    <col min="13" max="16384" width="9" style="339"/>
  </cols>
  <sheetData>
    <row r="1" spans="1:10" ht="15.75" customHeight="1">
      <c r="A1" s="416" t="s">
        <v>541</v>
      </c>
      <c r="B1" s="342"/>
      <c r="C1" s="342"/>
      <c r="D1" s="342"/>
      <c r="E1" s="342"/>
    </row>
    <row r="2" spans="1:10" ht="21.75" customHeight="1">
      <c r="A2" s="582" t="s">
        <v>774</v>
      </c>
      <c r="E2" s="340"/>
      <c r="F2" s="341"/>
      <c r="G2" s="340"/>
      <c r="H2" s="343"/>
    </row>
    <row r="3" spans="1:10" ht="21" customHeight="1">
      <c r="B3" s="344" t="s">
        <v>429</v>
      </c>
      <c r="C3" s="345" t="s">
        <v>430</v>
      </c>
      <c r="D3" s="345" t="s">
        <v>431</v>
      </c>
      <c r="E3" s="345" t="s">
        <v>432</v>
      </c>
      <c r="F3" s="346"/>
      <c r="G3" s="342"/>
      <c r="I3" s="342"/>
      <c r="J3" s="342"/>
    </row>
    <row r="4" spans="1:10" ht="21" customHeight="1">
      <c r="B4" s="344" t="s">
        <v>433</v>
      </c>
      <c r="C4" s="351"/>
      <c r="D4" s="365"/>
      <c r="E4" s="351">
        <f>C4*D4</f>
        <v>0</v>
      </c>
      <c r="F4" s="347"/>
    </row>
    <row r="5" spans="1:10" ht="21" customHeight="1">
      <c r="B5" s="348" t="s">
        <v>434</v>
      </c>
      <c r="C5" s="351"/>
      <c r="D5" s="365"/>
      <c r="E5" s="351">
        <f t="shared" ref="E5:E7" si="0">C5*D5</f>
        <v>0</v>
      </c>
      <c r="F5" s="347"/>
    </row>
    <row r="6" spans="1:10" ht="21" customHeight="1">
      <c r="B6" s="344" t="s">
        <v>435</v>
      </c>
      <c r="C6" s="351"/>
      <c r="D6" s="365"/>
      <c r="E6" s="351">
        <f t="shared" si="0"/>
        <v>0</v>
      </c>
      <c r="F6" s="347"/>
    </row>
    <row r="7" spans="1:10" ht="21" customHeight="1">
      <c r="B7" s="349" t="s">
        <v>436</v>
      </c>
      <c r="C7" s="351"/>
      <c r="D7" s="365"/>
      <c r="E7" s="351">
        <f t="shared" si="0"/>
        <v>0</v>
      </c>
      <c r="F7" s="347"/>
    </row>
    <row r="8" spans="1:10" ht="21" customHeight="1">
      <c r="B8" s="344"/>
      <c r="C8" s="351"/>
      <c r="D8" s="365"/>
      <c r="E8" s="351"/>
      <c r="F8" s="347"/>
    </row>
    <row r="9" spans="1:10">
      <c r="A9" s="343"/>
      <c r="B9" s="339" t="s">
        <v>437</v>
      </c>
    </row>
    <row r="10" spans="1:10" ht="21.75" customHeight="1">
      <c r="B10" s="342"/>
      <c r="C10" s="350"/>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B1" sqref="B1"/>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205</v>
      </c>
      <c r="C1" s="80"/>
      <c r="D1" s="108"/>
      <c r="E1" s="295"/>
      <c r="F1" s="295"/>
      <c r="G1" s="108"/>
      <c r="H1" s="108"/>
      <c r="I1" s="108"/>
      <c r="J1" s="108"/>
      <c r="K1" s="108"/>
      <c r="L1" s="765" t="s">
        <v>332</v>
      </c>
      <c r="M1" s="765"/>
      <c r="N1" s="763" t="s">
        <v>331</v>
      </c>
      <c r="O1" s="764"/>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66" t="s">
        <v>206</v>
      </c>
      <c r="C3" s="767"/>
      <c r="D3" s="213"/>
      <c r="E3" s="291" t="s">
        <v>328</v>
      </c>
      <c r="F3" s="80"/>
      <c r="G3" s="80"/>
      <c r="H3" s="80"/>
      <c r="I3" s="80"/>
      <c r="J3" s="80"/>
      <c r="K3" s="80"/>
      <c r="L3" s="80"/>
      <c r="M3" s="80"/>
      <c r="N3" s="80"/>
      <c r="O3" s="80"/>
      <c r="P3" s="108"/>
    </row>
    <row r="4" spans="1:18" ht="18" customHeight="1" thickBot="1">
      <c r="A4" s="150"/>
      <c r="B4" s="779" t="s">
        <v>207</v>
      </c>
      <c r="C4" s="780"/>
      <c r="D4" s="781"/>
      <c r="E4" s="153"/>
      <c r="F4" s="145"/>
      <c r="G4" s="144"/>
      <c r="H4" s="144"/>
      <c r="I4" s="144"/>
      <c r="J4" s="144"/>
      <c r="K4" s="144"/>
      <c r="L4" s="144"/>
      <c r="M4" s="144"/>
      <c r="N4" s="144"/>
      <c r="O4" s="143"/>
      <c r="P4" s="108"/>
    </row>
    <row r="5" spans="1:18" ht="18" customHeight="1">
      <c r="A5" s="150"/>
      <c r="B5" s="782" t="s">
        <v>208</v>
      </c>
      <c r="C5" s="776"/>
      <c r="D5" s="777"/>
      <c r="E5" s="777"/>
      <c r="F5" s="777"/>
      <c r="G5" s="777"/>
      <c r="H5" s="777"/>
      <c r="I5" s="777"/>
      <c r="J5" s="777"/>
      <c r="K5" s="777"/>
      <c r="L5" s="777"/>
      <c r="M5" s="777"/>
      <c r="N5" s="777"/>
      <c r="O5" s="778"/>
      <c r="P5" s="108"/>
      <c r="R5" s="148" t="s">
        <v>237</v>
      </c>
    </row>
    <row r="6" spans="1:18" ht="18" customHeight="1" thickBot="1">
      <c r="A6" s="80"/>
      <c r="B6" s="783"/>
      <c r="C6" s="773"/>
      <c r="D6" s="774"/>
      <c r="E6" s="774"/>
      <c r="F6" s="774"/>
      <c r="G6" s="774"/>
      <c r="H6" s="774"/>
      <c r="I6" s="774"/>
      <c r="J6" s="774"/>
      <c r="K6" s="774"/>
      <c r="L6" s="774"/>
      <c r="M6" s="774"/>
      <c r="N6" s="774"/>
      <c r="O6" s="775"/>
      <c r="P6" s="108"/>
      <c r="R6" s="148" t="s">
        <v>245</v>
      </c>
    </row>
    <row r="7" spans="1:18" ht="18" customHeight="1">
      <c r="A7" s="80"/>
      <c r="B7" s="782" t="s">
        <v>209</v>
      </c>
      <c r="C7" s="770"/>
      <c r="D7" s="771"/>
      <c r="E7" s="771"/>
      <c r="F7" s="771"/>
      <c r="G7" s="771"/>
      <c r="H7" s="771"/>
      <c r="I7" s="771"/>
      <c r="J7" s="771"/>
      <c r="K7" s="771"/>
      <c r="L7" s="771"/>
      <c r="M7" s="771"/>
      <c r="N7" s="771"/>
      <c r="O7" s="772"/>
      <c r="P7" s="108"/>
      <c r="R7" s="148" t="s">
        <v>234</v>
      </c>
    </row>
    <row r="8" spans="1:18" ht="18" customHeight="1" thickBot="1">
      <c r="A8" s="80"/>
      <c r="B8" s="783"/>
      <c r="C8" s="773"/>
      <c r="D8" s="774"/>
      <c r="E8" s="774"/>
      <c r="F8" s="774"/>
      <c r="G8" s="774"/>
      <c r="H8" s="774"/>
      <c r="I8" s="774"/>
      <c r="J8" s="774"/>
      <c r="K8" s="774"/>
      <c r="L8" s="774"/>
      <c r="M8" s="774"/>
      <c r="N8" s="774"/>
      <c r="O8" s="775"/>
      <c r="P8" s="108"/>
      <c r="R8" s="148" t="s">
        <v>204</v>
      </c>
    </row>
    <row r="9" spans="1:18" ht="18" customHeight="1" thickBot="1">
      <c r="A9" s="108"/>
      <c r="B9" s="784" t="s">
        <v>210</v>
      </c>
      <c r="C9" s="785"/>
      <c r="D9" s="785"/>
      <c r="E9" s="786"/>
      <c r="F9" s="787"/>
      <c r="G9" s="788"/>
      <c r="H9" s="789" t="s">
        <v>211</v>
      </c>
      <c r="I9" s="790"/>
      <c r="J9" s="771" t="s">
        <v>212</v>
      </c>
      <c r="K9" s="771"/>
      <c r="L9" s="771" t="s">
        <v>213</v>
      </c>
      <c r="M9" s="771"/>
      <c r="N9" s="144"/>
      <c r="O9" s="143"/>
      <c r="P9" s="108"/>
    </row>
    <row r="10" spans="1:18" ht="18" customHeight="1" thickBot="1">
      <c r="A10" s="108"/>
      <c r="B10" s="154" t="s">
        <v>214</v>
      </c>
      <c r="C10" s="155"/>
      <c r="D10" s="155"/>
      <c r="E10" s="155"/>
      <c r="F10" s="156"/>
      <c r="G10" s="156"/>
      <c r="H10" s="156"/>
      <c r="I10" s="157" t="s">
        <v>215</v>
      </c>
      <c r="J10" s="777" t="s">
        <v>216</v>
      </c>
      <c r="K10" s="777"/>
      <c r="L10" s="777" t="s">
        <v>217</v>
      </c>
      <c r="M10" s="777"/>
      <c r="N10" s="142"/>
      <c r="O10" s="137"/>
      <c r="P10" s="108"/>
    </row>
    <row r="11" spans="1:18" ht="18" customHeight="1" thickBot="1">
      <c r="A11" s="108"/>
      <c r="B11" s="828" t="s">
        <v>218</v>
      </c>
      <c r="C11" s="829"/>
      <c r="D11" s="159" t="s">
        <v>219</v>
      </c>
      <c r="E11" s="632"/>
      <c r="F11" s="632"/>
      <c r="G11" s="632"/>
      <c r="H11" s="160" t="s">
        <v>220</v>
      </c>
      <c r="I11" s="142"/>
      <c r="J11" s="142"/>
      <c r="K11" s="142"/>
      <c r="L11" s="142"/>
      <c r="M11" s="142"/>
      <c r="N11" s="142"/>
      <c r="O11" s="137"/>
      <c r="P11" s="108"/>
    </row>
    <row r="12" spans="1:18" ht="18" customHeight="1">
      <c r="A12" s="108"/>
      <c r="B12" s="795" t="s">
        <v>221</v>
      </c>
      <c r="C12" s="796"/>
      <c r="D12" s="142"/>
      <c r="E12" s="142"/>
      <c r="F12" s="142"/>
      <c r="G12" s="142"/>
      <c r="H12" s="142"/>
      <c r="I12" s="142"/>
      <c r="J12" s="142"/>
      <c r="K12" s="142"/>
      <c r="L12" s="142"/>
      <c r="M12" s="142"/>
      <c r="N12" s="142"/>
      <c r="O12" s="137"/>
      <c r="P12" s="108"/>
    </row>
    <row r="13" spans="1:18" ht="18" customHeight="1">
      <c r="A13" s="108"/>
      <c r="B13" s="782" t="s">
        <v>208</v>
      </c>
      <c r="C13" s="619"/>
      <c r="D13" s="620"/>
      <c r="E13" s="620"/>
      <c r="F13" s="620"/>
      <c r="G13" s="620"/>
      <c r="H13" s="620"/>
      <c r="I13" s="620"/>
      <c r="J13" s="620"/>
      <c r="K13" s="620"/>
      <c r="L13" s="620"/>
      <c r="M13" s="620"/>
      <c r="N13" s="620"/>
      <c r="O13" s="621"/>
      <c r="P13" s="108"/>
    </row>
    <row r="14" spans="1:18" ht="18" customHeight="1">
      <c r="A14" s="108"/>
      <c r="B14" s="791"/>
      <c r="C14" s="837"/>
      <c r="D14" s="617"/>
      <c r="E14" s="617"/>
      <c r="F14" s="617"/>
      <c r="G14" s="617"/>
      <c r="H14" s="617"/>
      <c r="I14" s="617"/>
      <c r="J14" s="617"/>
      <c r="K14" s="617"/>
      <c r="L14" s="617"/>
      <c r="M14" s="617"/>
      <c r="N14" s="617"/>
      <c r="O14" s="618"/>
      <c r="P14" s="108"/>
    </row>
    <row r="15" spans="1:18" ht="18" customHeight="1">
      <c r="A15" s="108"/>
      <c r="B15" s="791" t="s">
        <v>209</v>
      </c>
      <c r="C15" s="619"/>
      <c r="D15" s="620"/>
      <c r="E15" s="620"/>
      <c r="F15" s="620"/>
      <c r="G15" s="620"/>
      <c r="H15" s="620"/>
      <c r="I15" s="620"/>
      <c r="J15" s="620"/>
      <c r="K15" s="620"/>
      <c r="L15" s="620"/>
      <c r="M15" s="620"/>
      <c r="N15" s="620"/>
      <c r="O15" s="833"/>
      <c r="P15" s="108"/>
    </row>
    <row r="16" spans="1:18" ht="18" customHeight="1" thickBot="1">
      <c r="A16" s="108"/>
      <c r="B16" s="803"/>
      <c r="C16" s="776"/>
      <c r="D16" s="777"/>
      <c r="E16" s="777"/>
      <c r="F16" s="777"/>
      <c r="G16" s="777"/>
      <c r="H16" s="777"/>
      <c r="I16" s="777"/>
      <c r="J16" s="777"/>
      <c r="K16" s="777"/>
      <c r="L16" s="777"/>
      <c r="M16" s="777"/>
      <c r="N16" s="777"/>
      <c r="O16" s="778"/>
      <c r="P16" s="108"/>
    </row>
    <row r="17" spans="1:16" ht="18" customHeight="1" thickBot="1">
      <c r="A17" s="108"/>
      <c r="B17" s="779" t="s">
        <v>222</v>
      </c>
      <c r="C17" s="781"/>
      <c r="D17" s="353" t="s">
        <v>219</v>
      </c>
      <c r="E17" s="804"/>
      <c r="F17" s="804"/>
      <c r="G17" s="804"/>
      <c r="H17" s="352" t="s">
        <v>220</v>
      </c>
      <c r="I17" s="214"/>
      <c r="J17" s="214"/>
      <c r="K17" s="214"/>
      <c r="L17" s="214"/>
      <c r="M17" s="214"/>
      <c r="N17" s="214"/>
      <c r="O17" s="215"/>
      <c r="P17" s="108"/>
    </row>
    <row r="18" spans="1:16" ht="18" customHeight="1" thickBot="1">
      <c r="A18" s="108"/>
      <c r="B18" s="784" t="s">
        <v>223</v>
      </c>
      <c r="C18" s="785"/>
      <c r="D18" s="786"/>
      <c r="E18" s="805"/>
      <c r="F18" s="806"/>
      <c r="G18" s="806"/>
      <c r="H18" s="161" t="s">
        <v>220</v>
      </c>
      <c r="I18" s="142"/>
      <c r="J18" s="142"/>
      <c r="K18" s="142"/>
      <c r="L18" s="142"/>
      <c r="M18" s="142"/>
      <c r="N18" s="142"/>
      <c r="O18" s="137"/>
      <c r="P18" s="108"/>
    </row>
    <row r="19" spans="1:16" ht="18" customHeight="1">
      <c r="A19" s="108"/>
      <c r="B19" s="768" t="s">
        <v>224</v>
      </c>
      <c r="C19" s="769"/>
      <c r="D19" s="769"/>
      <c r="E19" s="140"/>
      <c r="F19" s="142"/>
      <c r="G19" s="142"/>
      <c r="H19" s="142"/>
      <c r="I19" s="142"/>
      <c r="J19" s="142"/>
      <c r="K19" s="142"/>
      <c r="L19" s="142"/>
      <c r="M19" s="142"/>
      <c r="N19" s="142"/>
      <c r="O19" s="137"/>
      <c r="P19" s="142"/>
    </row>
    <row r="20" spans="1:16" ht="18" customHeight="1">
      <c r="A20" s="108"/>
      <c r="B20" s="162" t="s">
        <v>225</v>
      </c>
      <c r="C20" s="163"/>
      <c r="D20" s="164" t="s">
        <v>219</v>
      </c>
      <c r="E20" s="632"/>
      <c r="F20" s="632"/>
      <c r="G20" s="632"/>
      <c r="H20" s="160" t="s">
        <v>220</v>
      </c>
      <c r="I20" s="142"/>
      <c r="J20" s="142"/>
      <c r="K20" s="142"/>
      <c r="L20" s="142"/>
      <c r="M20" s="142"/>
      <c r="N20" s="142"/>
      <c r="O20" s="137"/>
      <c r="P20" s="142"/>
    </row>
    <row r="21" spans="1:16" ht="18" customHeight="1">
      <c r="A21" s="108"/>
      <c r="B21" s="165" t="s">
        <v>226</v>
      </c>
      <c r="C21" s="166"/>
      <c r="D21" s="167" t="s">
        <v>219</v>
      </c>
      <c r="E21" s="632"/>
      <c r="F21" s="632"/>
      <c r="G21" s="632"/>
      <c r="H21" s="160" t="s">
        <v>220</v>
      </c>
      <c r="I21" s="142"/>
      <c r="J21" s="142"/>
      <c r="K21" s="142"/>
      <c r="L21" s="142"/>
      <c r="M21" s="142"/>
      <c r="N21" s="142"/>
      <c r="O21" s="137"/>
      <c r="P21" s="142"/>
    </row>
    <row r="22" spans="1:16" ht="18" customHeight="1">
      <c r="A22" s="108"/>
      <c r="B22" s="168" t="s">
        <v>227</v>
      </c>
      <c r="C22" s="169"/>
      <c r="D22" s="164" t="s">
        <v>219</v>
      </c>
      <c r="E22" s="632"/>
      <c r="F22" s="632"/>
      <c r="G22" s="632"/>
      <c r="H22" s="160" t="s">
        <v>220</v>
      </c>
      <c r="I22" s="830" t="s">
        <v>228</v>
      </c>
      <c r="J22" s="831"/>
      <c r="K22" s="831"/>
      <c r="L22" s="831"/>
      <c r="M22" s="831"/>
      <c r="N22" s="831"/>
      <c r="O22" s="832"/>
      <c r="P22" s="142"/>
    </row>
    <row r="23" spans="1:16" ht="18" customHeight="1">
      <c r="A23" s="108"/>
      <c r="B23" s="170" t="s">
        <v>229</v>
      </c>
      <c r="C23" s="171"/>
      <c r="D23" s="172" t="s">
        <v>219</v>
      </c>
      <c r="E23" s="620"/>
      <c r="F23" s="620"/>
      <c r="G23" s="620"/>
      <c r="H23" s="173" t="s">
        <v>220</v>
      </c>
      <c r="I23" s="139"/>
      <c r="J23" s="142"/>
      <c r="K23" s="142"/>
      <c r="L23" s="142"/>
      <c r="M23" s="142"/>
      <c r="N23" s="142"/>
      <c r="O23" s="137"/>
      <c r="P23" s="142"/>
    </row>
    <row r="24" spans="1:16" ht="18" customHeight="1">
      <c r="A24" s="108"/>
      <c r="B24" s="834" t="s">
        <v>230</v>
      </c>
      <c r="C24" s="835"/>
      <c r="D24" s="836"/>
      <c r="E24" s="138"/>
      <c r="F24" s="138"/>
      <c r="G24" s="138"/>
      <c r="H24" s="138"/>
      <c r="I24" s="142"/>
      <c r="J24" s="142"/>
      <c r="K24" s="142"/>
      <c r="L24" s="142"/>
      <c r="M24" s="142"/>
      <c r="N24" s="142"/>
      <c r="O24" s="137"/>
      <c r="P24" s="108"/>
    </row>
    <row r="25" spans="1:16" ht="18" customHeight="1">
      <c r="A25" s="108"/>
      <c r="B25" s="826"/>
      <c r="C25" s="777"/>
      <c r="D25" s="777"/>
      <c r="E25" s="777"/>
      <c r="F25" s="777"/>
      <c r="G25" s="777"/>
      <c r="H25" s="777"/>
      <c r="I25" s="777"/>
      <c r="J25" s="777"/>
      <c r="K25" s="777"/>
      <c r="L25" s="777"/>
      <c r="M25" s="777"/>
      <c r="N25" s="777"/>
      <c r="O25" s="778"/>
      <c r="P25" s="108"/>
    </row>
    <row r="26" spans="1:16" ht="18" customHeight="1" thickBot="1">
      <c r="A26" s="108"/>
      <c r="B26" s="827"/>
      <c r="C26" s="774"/>
      <c r="D26" s="774"/>
      <c r="E26" s="774"/>
      <c r="F26" s="774"/>
      <c r="G26" s="774"/>
      <c r="H26" s="774"/>
      <c r="I26" s="774"/>
      <c r="J26" s="774"/>
      <c r="K26" s="774"/>
      <c r="L26" s="774"/>
      <c r="M26" s="774"/>
      <c r="N26" s="774"/>
      <c r="O26" s="775"/>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246</v>
      </c>
      <c r="C28" s="141"/>
      <c r="D28" s="141"/>
      <c r="E28" s="141"/>
      <c r="F28" s="141"/>
      <c r="G28" s="141"/>
      <c r="H28" s="141"/>
      <c r="I28" s="141"/>
      <c r="J28" s="141"/>
      <c r="K28" s="141"/>
      <c r="L28" s="141"/>
      <c r="M28" s="141"/>
      <c r="N28" s="141"/>
      <c r="O28" s="141"/>
      <c r="P28" s="141"/>
    </row>
    <row r="29" spans="1:16" ht="18" customHeight="1">
      <c r="A29" s="141"/>
      <c r="B29" s="141" t="s">
        <v>231</v>
      </c>
      <c r="C29" s="141"/>
      <c r="D29" s="141"/>
      <c r="E29" s="141"/>
      <c r="F29" s="141"/>
      <c r="G29" s="141"/>
      <c r="H29" s="141"/>
      <c r="I29" s="141"/>
      <c r="J29" s="141"/>
      <c r="K29" s="141"/>
      <c r="L29" s="141"/>
      <c r="M29" s="141"/>
      <c r="N29" s="141"/>
      <c r="O29" s="141"/>
      <c r="P29" s="141"/>
    </row>
    <row r="30" spans="1:16" ht="30" customHeight="1">
      <c r="A30" s="141"/>
      <c r="B30" s="797" t="s">
        <v>232</v>
      </c>
      <c r="C30" s="797"/>
      <c r="D30" s="797"/>
      <c r="E30" s="797"/>
      <c r="F30" s="797"/>
      <c r="G30" s="797"/>
      <c r="H30" s="797"/>
      <c r="I30" s="797"/>
      <c r="J30" s="797"/>
      <c r="K30" s="797"/>
      <c r="L30" s="797"/>
      <c r="M30" s="797"/>
      <c r="N30" s="797"/>
      <c r="O30" s="797"/>
      <c r="P30" s="141"/>
    </row>
    <row r="31" spans="1:16" ht="18" customHeight="1" thickBot="1">
      <c r="B31" s="149" t="s">
        <v>233</v>
      </c>
    </row>
    <row r="32" spans="1:16" ht="18" customHeight="1" thickBot="1">
      <c r="A32" s="150"/>
      <c r="B32" s="766" t="s">
        <v>206</v>
      </c>
      <c r="C32" s="767"/>
      <c r="D32" s="151" t="s">
        <v>234</v>
      </c>
      <c r="E32" s="152" t="s">
        <v>329</v>
      </c>
      <c r="F32" s="152"/>
      <c r="G32" s="152"/>
      <c r="H32" s="152"/>
      <c r="I32" s="152"/>
      <c r="J32" s="152"/>
      <c r="K32" s="152"/>
      <c r="L32" s="152"/>
      <c r="M32" s="152"/>
      <c r="N32" s="152"/>
      <c r="O32" s="152"/>
    </row>
    <row r="33" spans="1:16" ht="18" customHeight="1" thickBot="1">
      <c r="A33" s="150"/>
      <c r="B33" s="798" t="s">
        <v>207</v>
      </c>
      <c r="C33" s="799"/>
      <c r="D33" s="800"/>
      <c r="E33" s="174"/>
      <c r="F33" s="175"/>
      <c r="G33" s="176"/>
      <c r="H33" s="176"/>
      <c r="I33" s="176"/>
      <c r="J33" s="176"/>
      <c r="K33" s="176"/>
      <c r="L33" s="176"/>
      <c r="M33" s="176"/>
      <c r="N33" s="176"/>
      <c r="O33" s="177"/>
    </row>
    <row r="34" spans="1:16" ht="18" customHeight="1">
      <c r="A34" s="150"/>
      <c r="B34" s="801" t="s">
        <v>208</v>
      </c>
      <c r="C34" s="792" t="s">
        <v>235</v>
      </c>
      <c r="D34" s="793"/>
      <c r="E34" s="793"/>
      <c r="F34" s="793"/>
      <c r="G34" s="793"/>
      <c r="H34" s="793"/>
      <c r="I34" s="793"/>
      <c r="J34" s="793"/>
      <c r="K34" s="793"/>
      <c r="L34" s="793"/>
      <c r="M34" s="793"/>
      <c r="N34" s="793"/>
      <c r="O34" s="794"/>
    </row>
    <row r="35" spans="1:16" ht="18" customHeight="1" thickBot="1">
      <c r="A35" s="150"/>
      <c r="B35" s="802"/>
      <c r="C35" s="821"/>
      <c r="D35" s="812"/>
      <c r="E35" s="812"/>
      <c r="F35" s="812"/>
      <c r="G35" s="812"/>
      <c r="H35" s="812"/>
      <c r="I35" s="812"/>
      <c r="J35" s="812"/>
      <c r="K35" s="812"/>
      <c r="L35" s="812"/>
      <c r="M35" s="812"/>
      <c r="N35" s="812"/>
      <c r="O35" s="822"/>
    </row>
    <row r="36" spans="1:16" ht="18" customHeight="1">
      <c r="A36" s="150"/>
      <c r="B36" s="801" t="s">
        <v>209</v>
      </c>
      <c r="C36" s="823" t="s">
        <v>236</v>
      </c>
      <c r="D36" s="824"/>
      <c r="E36" s="824"/>
      <c r="F36" s="824"/>
      <c r="G36" s="824"/>
      <c r="H36" s="824"/>
      <c r="I36" s="824"/>
      <c r="J36" s="824"/>
      <c r="K36" s="824"/>
      <c r="L36" s="824"/>
      <c r="M36" s="824"/>
      <c r="N36" s="824"/>
      <c r="O36" s="825"/>
    </row>
    <row r="37" spans="1:16" ht="18" customHeight="1" thickBot="1">
      <c r="B37" s="802"/>
      <c r="C37" s="821"/>
      <c r="D37" s="812"/>
      <c r="E37" s="812"/>
      <c r="F37" s="812"/>
      <c r="G37" s="812"/>
      <c r="H37" s="812"/>
      <c r="I37" s="812"/>
      <c r="J37" s="812"/>
      <c r="K37" s="812"/>
      <c r="L37" s="812"/>
      <c r="M37" s="812"/>
      <c r="N37" s="812"/>
      <c r="O37" s="822"/>
    </row>
    <row r="38" spans="1:16" ht="18" customHeight="1" thickBot="1">
      <c r="B38" s="798" t="s">
        <v>210</v>
      </c>
      <c r="C38" s="799"/>
      <c r="D38" s="799"/>
      <c r="E38" s="800"/>
      <c r="F38" s="798" t="s">
        <v>237</v>
      </c>
      <c r="G38" s="800"/>
      <c r="H38" s="176" t="s">
        <v>238</v>
      </c>
      <c r="I38" s="176"/>
      <c r="J38" s="176"/>
      <c r="K38" s="176"/>
      <c r="L38" s="176"/>
      <c r="M38" s="176"/>
      <c r="N38" s="176"/>
      <c r="O38" s="177"/>
    </row>
    <row r="39" spans="1:16" ht="18" customHeight="1" thickBot="1">
      <c r="B39" s="178" t="s">
        <v>239</v>
      </c>
      <c r="C39" s="179"/>
      <c r="D39" s="179"/>
      <c r="E39" s="179"/>
      <c r="F39" s="180"/>
      <c r="G39" s="180"/>
      <c r="H39" s="180"/>
      <c r="I39" s="180"/>
      <c r="J39" s="180"/>
      <c r="K39" s="180"/>
      <c r="L39" s="180"/>
      <c r="M39" s="180"/>
      <c r="N39" s="180"/>
      <c r="O39" s="181"/>
    </row>
    <row r="40" spans="1:16" ht="18" customHeight="1" thickBot="1">
      <c r="B40" s="766" t="s">
        <v>218</v>
      </c>
      <c r="C40" s="819"/>
      <c r="D40" s="182" t="s">
        <v>219</v>
      </c>
      <c r="E40" s="813">
        <v>1571020</v>
      </c>
      <c r="F40" s="814"/>
      <c r="G40" s="814"/>
      <c r="H40" s="183" t="s">
        <v>220</v>
      </c>
      <c r="I40" s="180"/>
      <c r="J40" s="180"/>
      <c r="K40" s="180"/>
      <c r="L40" s="180"/>
      <c r="M40" s="180"/>
      <c r="N40" s="180"/>
      <c r="O40" s="181"/>
    </row>
    <row r="41" spans="1:16" ht="18" customHeight="1">
      <c r="B41" s="801" t="s">
        <v>221</v>
      </c>
      <c r="C41" s="816"/>
      <c r="D41" s="180"/>
      <c r="E41" s="180"/>
      <c r="F41" s="180"/>
      <c r="G41" s="180"/>
      <c r="H41" s="180"/>
      <c r="I41" s="180"/>
      <c r="J41" s="180"/>
      <c r="K41" s="180"/>
      <c r="L41" s="180"/>
      <c r="M41" s="180"/>
      <c r="N41" s="180"/>
      <c r="O41" s="181"/>
    </row>
    <row r="42" spans="1:16" ht="18" customHeight="1">
      <c r="B42" s="801" t="s">
        <v>208</v>
      </c>
      <c r="C42" s="180" t="s">
        <v>240</v>
      </c>
      <c r="D42" s="180"/>
      <c r="E42" s="180"/>
      <c r="F42" s="180"/>
      <c r="G42" s="180"/>
      <c r="H42" s="180"/>
      <c r="I42" s="180"/>
      <c r="J42" s="180"/>
      <c r="K42" s="180"/>
      <c r="L42" s="180"/>
      <c r="M42" s="180"/>
      <c r="N42" s="180"/>
      <c r="O42" s="181"/>
    </row>
    <row r="43" spans="1:16" ht="18" customHeight="1">
      <c r="B43" s="810"/>
      <c r="C43" s="184"/>
      <c r="D43" s="185"/>
      <c r="E43" s="185"/>
      <c r="F43" s="185"/>
      <c r="G43" s="185"/>
      <c r="H43" s="185"/>
      <c r="I43" s="185"/>
      <c r="J43" s="185"/>
      <c r="K43" s="185"/>
      <c r="L43" s="185"/>
      <c r="M43" s="185"/>
      <c r="N43" s="185"/>
      <c r="O43" s="186"/>
    </row>
    <row r="44" spans="1:16" ht="18" customHeight="1">
      <c r="B44" s="810" t="s">
        <v>209</v>
      </c>
      <c r="C44" s="180" t="s">
        <v>241</v>
      </c>
      <c r="D44" s="180"/>
      <c r="E44" s="180"/>
      <c r="F44" s="180"/>
      <c r="G44" s="180"/>
      <c r="H44" s="180"/>
      <c r="I44" s="180"/>
      <c r="J44" s="180"/>
      <c r="K44" s="180"/>
      <c r="L44" s="180"/>
      <c r="M44" s="180"/>
      <c r="N44" s="180"/>
      <c r="O44" s="181"/>
    </row>
    <row r="45" spans="1:16" ht="18" customHeight="1" thickBot="1">
      <c r="B45" s="802"/>
      <c r="C45" s="187"/>
      <c r="D45" s="188"/>
      <c r="E45" s="188"/>
      <c r="F45" s="188"/>
      <c r="G45" s="188"/>
      <c r="H45" s="188"/>
      <c r="I45" s="188"/>
      <c r="J45" s="188"/>
      <c r="K45" s="188"/>
      <c r="L45" s="188"/>
      <c r="M45" s="188"/>
      <c r="N45" s="188"/>
      <c r="O45" s="189"/>
    </row>
    <row r="46" spans="1:16" ht="18" customHeight="1" thickBot="1">
      <c r="B46" s="798" t="s">
        <v>222</v>
      </c>
      <c r="C46" s="800"/>
      <c r="D46" s="190" t="s">
        <v>219</v>
      </c>
      <c r="E46" s="811">
        <v>245500</v>
      </c>
      <c r="F46" s="812"/>
      <c r="G46" s="812"/>
      <c r="H46" s="180" t="s">
        <v>220</v>
      </c>
      <c r="I46" s="187"/>
      <c r="J46" s="180"/>
      <c r="K46" s="180"/>
      <c r="L46" s="180"/>
      <c r="M46" s="180"/>
      <c r="N46" s="180"/>
      <c r="O46" s="181"/>
    </row>
    <row r="47" spans="1:16" ht="18" customHeight="1" thickBot="1">
      <c r="B47" s="191" t="s">
        <v>223</v>
      </c>
      <c r="C47" s="192"/>
      <c r="D47" s="192"/>
      <c r="E47" s="193"/>
      <c r="F47" s="817">
        <v>1325520</v>
      </c>
      <c r="G47" s="818"/>
      <c r="H47" s="194" t="s">
        <v>220</v>
      </c>
      <c r="I47" s="195"/>
      <c r="J47" s="176"/>
      <c r="K47" s="176"/>
      <c r="L47" s="176"/>
      <c r="M47" s="176"/>
      <c r="N47" s="176"/>
      <c r="O47" s="177"/>
      <c r="P47" s="158"/>
    </row>
    <row r="48" spans="1:16" ht="18" customHeight="1">
      <c r="B48" s="196" t="s">
        <v>242</v>
      </c>
      <c r="C48" s="197"/>
      <c r="D48" s="197"/>
      <c r="E48" s="198"/>
      <c r="F48" s="199"/>
      <c r="G48" s="199"/>
      <c r="H48" s="180"/>
      <c r="I48" s="180"/>
      <c r="J48" s="180"/>
      <c r="K48" s="180"/>
      <c r="L48" s="180"/>
      <c r="M48" s="180"/>
      <c r="N48" s="180"/>
      <c r="O48" s="181"/>
      <c r="P48" s="158"/>
    </row>
    <row r="49" spans="2:16" ht="18" customHeight="1">
      <c r="B49" s="200" t="s">
        <v>225</v>
      </c>
      <c r="C49" s="201" t="s">
        <v>234</v>
      </c>
      <c r="D49" s="202" t="s">
        <v>219</v>
      </c>
      <c r="E49" s="813">
        <v>1325520</v>
      </c>
      <c r="F49" s="814"/>
      <c r="G49" s="814"/>
      <c r="H49" s="183" t="s">
        <v>220</v>
      </c>
      <c r="I49" s="180"/>
      <c r="J49" s="180"/>
      <c r="K49" s="180"/>
      <c r="L49" s="180"/>
      <c r="M49" s="180"/>
      <c r="N49" s="180"/>
      <c r="O49" s="181"/>
      <c r="P49" s="158"/>
    </row>
    <row r="50" spans="2:16" ht="18" customHeight="1">
      <c r="B50" s="203" t="s">
        <v>227</v>
      </c>
      <c r="C50" s="204" t="s">
        <v>204</v>
      </c>
      <c r="D50" s="202" t="s">
        <v>219</v>
      </c>
      <c r="E50" s="820">
        <v>0</v>
      </c>
      <c r="F50" s="820"/>
      <c r="G50" s="820"/>
      <c r="H50" s="183" t="s">
        <v>220</v>
      </c>
      <c r="I50" s="792" t="s">
        <v>243</v>
      </c>
      <c r="J50" s="793"/>
      <c r="K50" s="793"/>
      <c r="L50" s="793"/>
      <c r="M50" s="793"/>
      <c r="N50" s="793"/>
      <c r="O50" s="794"/>
      <c r="P50" s="158"/>
    </row>
    <row r="51" spans="2:16" ht="18" customHeight="1">
      <c r="B51" s="205" t="s">
        <v>229</v>
      </c>
      <c r="C51" s="206" t="s">
        <v>204</v>
      </c>
      <c r="D51" s="207" t="s">
        <v>219</v>
      </c>
      <c r="E51" s="815">
        <v>0</v>
      </c>
      <c r="F51" s="815"/>
      <c r="G51" s="815"/>
      <c r="H51" s="208" t="s">
        <v>220</v>
      </c>
      <c r="I51" s="209"/>
      <c r="J51" s="180"/>
      <c r="K51" s="180"/>
      <c r="L51" s="180"/>
      <c r="M51" s="180"/>
      <c r="N51" s="180"/>
      <c r="O51" s="181"/>
      <c r="P51" s="158"/>
    </row>
    <row r="52" spans="2:16" ht="18" customHeight="1">
      <c r="B52" s="807" t="s">
        <v>244</v>
      </c>
      <c r="C52" s="808"/>
      <c r="D52" s="809"/>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L10:M10"/>
    <mergeCell ref="B25:O26"/>
    <mergeCell ref="B11:C11"/>
    <mergeCell ref="E21:G21"/>
    <mergeCell ref="E22:G22"/>
    <mergeCell ref="I22:O22"/>
    <mergeCell ref="C15:O16"/>
    <mergeCell ref="E23:G23"/>
    <mergeCell ref="B24:D24"/>
    <mergeCell ref="E20:G20"/>
    <mergeCell ref="C13:O14"/>
    <mergeCell ref="J10:K10"/>
    <mergeCell ref="F38:G38"/>
    <mergeCell ref="B40:C40"/>
    <mergeCell ref="E49:G49"/>
    <mergeCell ref="E50:G50"/>
    <mergeCell ref="C35:O35"/>
    <mergeCell ref="I50:O50"/>
    <mergeCell ref="B36:B37"/>
    <mergeCell ref="C36:O36"/>
    <mergeCell ref="C37:O37"/>
    <mergeCell ref="B38:E38"/>
    <mergeCell ref="B52:D52"/>
    <mergeCell ref="B44:B45"/>
    <mergeCell ref="B46:C46"/>
    <mergeCell ref="E46:G46"/>
    <mergeCell ref="E40:G40"/>
    <mergeCell ref="E51:G51"/>
    <mergeCell ref="B41:C41"/>
    <mergeCell ref="B42:B43"/>
    <mergeCell ref="F47:G47"/>
    <mergeCell ref="C34:O34"/>
    <mergeCell ref="B18:D18"/>
    <mergeCell ref="B12:C12"/>
    <mergeCell ref="B30:O30"/>
    <mergeCell ref="B33:D33"/>
    <mergeCell ref="B34:B35"/>
    <mergeCell ref="B15:B16"/>
    <mergeCell ref="B17:C17"/>
    <mergeCell ref="E17:G17"/>
    <mergeCell ref="E18:G18"/>
    <mergeCell ref="B32:C32"/>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2025-08-14T07:36:44Z</cp:lastPrinted>
  <dcterms:created xsi:type="dcterms:W3CDTF">2007-11-28T08:57:04Z</dcterms:created>
  <dcterms:modified xsi:type="dcterms:W3CDTF">2025-09-16T02:39:10Z</dcterms:modified>
</cp:coreProperties>
</file>